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tabRatio="764" activeTab="0"/>
  </bookViews>
  <sheets>
    <sheet name="61tio90" sheetId="1" r:id="rId1"/>
    <sheet name="6111tiocoefvert90" sheetId="2" r:id="rId2"/>
    <sheet name="612tiocoefhor90" sheetId="3" r:id="rId3"/>
    <sheet name="62tio86" sheetId="4" r:id="rId4"/>
    <sheet name="621tiocoefvert86" sheetId="5" r:id="rId5"/>
    <sheet name="622tiocoefhor86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<sst xmlns="http://schemas.openxmlformats.org/spreadsheetml/2006/main" count="696" uniqueCount="115">
  <si>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</si>
  <si>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</si>
  <si>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</si>
  <si>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</si>
  <si>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</si>
  <si>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</si>
  <si>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</si>
  <si>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</si>
  <si>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</si>
  <si>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</si>
  <si>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</si>
  <si>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</si>
  <si>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</si>
  <si>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</si>
  <si>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</si>
  <si>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</si>
  <si>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</si>
  <si>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</si>
  <si>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PISB</t>
  </si>
  <si>
    <t>19</t>
  </si>
  <si>
    <t>20</t>
  </si>
  <si>
    <t>21</t>
  </si>
  <si>
    <t>22</t>
  </si>
  <si>
    <t>23</t>
  </si>
  <si>
    <t>Agricultura</t>
  </si>
  <si>
    <t>Industria alimentaria</t>
  </si>
  <si>
    <t>Conservas</t>
  </si>
  <si>
    <t>Bebidas</t>
  </si>
  <si>
    <t>Textil y confección , calzado y cuero</t>
  </si>
  <si>
    <t>Papel y artes gráficas</t>
  </si>
  <si>
    <t>Química, caucho , plástico</t>
  </si>
  <si>
    <t>Minerales no metálicos</t>
  </si>
  <si>
    <t>Metalurgia</t>
  </si>
  <si>
    <t>Productos  metálicos</t>
  </si>
  <si>
    <t>Maquinaria , aparatos domésticos y m.eléctr.</t>
  </si>
  <si>
    <t>Material de Transporte</t>
  </si>
  <si>
    <t>Muebles madera y otros</t>
  </si>
  <si>
    <t>Energía</t>
  </si>
  <si>
    <t>Construcción</t>
  </si>
  <si>
    <t>Transportes y Comunicaciones</t>
  </si>
  <si>
    <t>Banca y Seguros</t>
  </si>
  <si>
    <t>Producción imputada de servicios bancarios</t>
  </si>
  <si>
    <t>Servicios a Empresas e inmobiliarias</t>
  </si>
  <si>
    <t>Administración Pública</t>
  </si>
  <si>
    <t>Educación</t>
  </si>
  <si>
    <t>Sanidad</t>
  </si>
  <si>
    <t>Servicios Sociales y personales</t>
  </si>
  <si>
    <t>OUTPUTS INTERMEDIOS</t>
  </si>
  <si>
    <t>Consumo familiar</t>
  </si>
  <si>
    <t>Consumo público</t>
  </si>
  <si>
    <t>Formación bruta de capital fijo</t>
  </si>
  <si>
    <t>Variación de existencias</t>
  </si>
  <si>
    <t>Total de exportaciones</t>
  </si>
  <si>
    <t>Exportaciones a la Unión Europea</t>
  </si>
  <si>
    <t>Exportaciones al extranjero</t>
  </si>
  <si>
    <t>DEMANDA FINAL TOTAL</t>
  </si>
  <si>
    <t>TOTAL EMPLEOS</t>
  </si>
  <si>
    <t>Navarra</t>
  </si>
  <si>
    <t>Resto de España</t>
  </si>
  <si>
    <t>Extranjero</t>
  </si>
  <si>
    <t>TOTAL</t>
  </si>
  <si>
    <t>Industrias Alimentarias</t>
  </si>
  <si>
    <t>Papel y Artes Gráficas</t>
  </si>
  <si>
    <t>Química, Caucho, Plástico</t>
  </si>
  <si>
    <t>Minerales no Metálicos</t>
  </si>
  <si>
    <t>Productos Metálicos</t>
  </si>
  <si>
    <t>Maquinaria, Aparatos Domésticos y Material Eléctrico</t>
  </si>
  <si>
    <t>Muebles, Madera y Otros</t>
  </si>
  <si>
    <t xml:space="preserve">Comercio </t>
  </si>
  <si>
    <t>y hostelería</t>
  </si>
  <si>
    <t>Transporte y Comunicaciones</t>
  </si>
  <si>
    <t>Servicios a Empresas e Inmobiliarias</t>
  </si>
  <si>
    <t>Servicios Sociales y Personales</t>
  </si>
  <si>
    <t>INPUTS INTERMEDIOS</t>
  </si>
  <si>
    <t>Sueldos y salarios brutos</t>
  </si>
  <si>
    <t>Cotizaciones sociales</t>
  </si>
  <si>
    <t>Remuneración de asalariados</t>
  </si>
  <si>
    <t>Excedente bruto de explotación</t>
  </si>
  <si>
    <t>Valor añadido bruto al coste de  factores</t>
  </si>
  <si>
    <t>Impuestos ligados a la producción</t>
  </si>
  <si>
    <t>Subvenciones de explotación</t>
  </si>
  <si>
    <t>Impuestos netos ligados a la producción</t>
  </si>
  <si>
    <t>Valor añadido bruto a precios de  mercado</t>
  </si>
  <si>
    <t>Producción efectiva salida de fábrica</t>
  </si>
  <si>
    <t>Fila de transferencias</t>
  </si>
  <si>
    <t>Producción distribuida</t>
  </si>
  <si>
    <t>Importaciones del resto de  España</t>
  </si>
  <si>
    <t>Importaciones de la UE</t>
  </si>
  <si>
    <t>Importaciones de terceros países</t>
  </si>
  <si>
    <t>Total importaciones equivalentes</t>
  </si>
  <si>
    <t>IVA que grava los productos</t>
  </si>
  <si>
    <t>TOTAL RECURSOS</t>
  </si>
  <si>
    <t>Maquinaria , aparatos domésticos y material eléctrico</t>
  </si>
  <si>
    <t>Consumo Famil.</t>
  </si>
  <si>
    <t>Consumo Público</t>
  </si>
  <si>
    <t>FBK fijo</t>
  </si>
  <si>
    <t>FBK</t>
  </si>
  <si>
    <t>Total Exportaciones</t>
  </si>
  <si>
    <t>Export. RE</t>
  </si>
  <si>
    <t>Export. UE</t>
  </si>
  <si>
    <t>Export. RM</t>
  </si>
  <si>
    <t xml:space="preserve"> EMPLEOS</t>
  </si>
  <si>
    <t>6.1. Tabla Input-Output de la economía navarra 1990</t>
  </si>
  <si>
    <t>6.2. Tabla Input-Output de la economía navarra 1986</t>
  </si>
  <si>
    <t>Ramas de actividad</t>
  </si>
  <si>
    <t>6.1.1. Matriz de coeficientes técnicos verticales. TIO 1990</t>
  </si>
  <si>
    <t>6.1.2. Matriz de coeficientes técnicos horizontales. TIO 1990</t>
  </si>
  <si>
    <t>6.2.2. Matriz de coeficientes técnicos horizontales. TIO 1986</t>
  </si>
  <si>
    <t>(Millones de pesetas)</t>
  </si>
  <si>
    <t>Comercio y reparación y hotelería</t>
  </si>
  <si>
    <t>Formación bruta de capital</t>
  </si>
  <si>
    <t>Exportaciones al resto de España</t>
  </si>
  <si>
    <t>Comercio y Hostelería</t>
  </si>
  <si>
    <t>6.2.1 Matriz de coeficientes técnicos verticales. TIO 1986</t>
  </si>
  <si>
    <t xml:space="preserve">Comercio y Hostelería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</si>
</sst>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"/>
    <numFmt numFmtId="182" formatCode="_-* #,##0.0\ _P_t_s_-;\-* #,##0.0\ _P_t_s_-;_-* &quot;-&quot;\ _P_t_s_-;_-@_-"/>
    <numFmt numFmtId="183" formatCode="#,##0.000"/>
    <numFmt numFmtId="184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1" fillId="0" borderId="0" xfId="0" applyNumberFormat="1" applyFont="1" applyAlignment="1">
      <alignment textRotation="90"/>
    </xf>
    <xf numFmtId="184" fontId="1" fillId="0" borderId="10" xfId="0" applyNumberFormat="1" applyFont="1" applyBorder="1" applyAlignment="1">
      <alignment horizontal="left"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 textRotation="90"/>
    </xf>
    <xf numFmtId="184" fontId="1" fillId="0" borderId="11" xfId="0" applyNumberFormat="1" applyFont="1" applyBorder="1" applyAlignment="1">
      <alignment textRotation="90"/>
    </xf>
    <xf numFmtId="184" fontId="1" fillId="0" borderId="11" xfId="0" applyNumberFormat="1" applyFont="1" applyBorder="1" applyAlignment="1" quotePrefix="1">
      <alignment textRotation="90"/>
    </xf>
    <xf numFmtId="184" fontId="1" fillId="0" borderId="11" xfId="0" applyNumberFormat="1" applyFont="1" applyBorder="1" applyAlignment="1" quotePrefix="1">
      <alignment horizontal="left" textRotation="90"/>
    </xf>
    <xf numFmtId="184" fontId="1" fillId="0" borderId="12" xfId="0" applyNumberFormat="1" applyFont="1" applyBorder="1" applyAlignment="1">
      <alignment textRotation="90"/>
    </xf>
    <xf numFmtId="184" fontId="0" fillId="0" borderId="11" xfId="0" applyNumberFormat="1" applyBorder="1" applyAlignment="1">
      <alignment/>
    </xf>
    <xf numFmtId="184" fontId="1" fillId="0" borderId="12" xfId="0" applyNumberFormat="1" applyFont="1" applyBorder="1" applyAlignment="1">
      <alignment/>
    </xf>
    <xf numFmtId="184" fontId="1" fillId="0" borderId="13" xfId="0" applyNumberFormat="1" applyFont="1" applyBorder="1" applyAlignment="1">
      <alignment/>
    </xf>
    <xf numFmtId="184" fontId="1" fillId="0" borderId="13" xfId="0" applyNumberFormat="1" applyFont="1" applyBorder="1" applyAlignment="1" quotePrefix="1">
      <alignment horizontal="center"/>
    </xf>
    <xf numFmtId="184" fontId="1" fillId="0" borderId="13" xfId="0" applyNumberFormat="1" applyFont="1" applyBorder="1" applyAlignment="1">
      <alignment horizontal="center"/>
    </xf>
    <xf numFmtId="184" fontId="1" fillId="0" borderId="14" xfId="0" applyNumberFormat="1" applyFont="1" applyBorder="1" applyAlignment="1">
      <alignment/>
    </xf>
    <xf numFmtId="184" fontId="1" fillId="0" borderId="15" xfId="0" applyNumberFormat="1" applyFont="1" applyBorder="1" applyAlignment="1">
      <alignment horizontal="left"/>
    </xf>
    <xf numFmtId="184" fontId="1" fillId="0" borderId="16" xfId="0" applyNumberFormat="1" applyFont="1" applyBorder="1" applyAlignment="1">
      <alignment/>
    </xf>
    <xf numFmtId="184" fontId="1" fillId="0" borderId="17" xfId="0" applyNumberFormat="1" applyFon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19" xfId="0" applyNumberFormat="1" applyBorder="1" applyAlignment="1">
      <alignment/>
    </xf>
    <xf numFmtId="184" fontId="1" fillId="0" borderId="20" xfId="0" applyNumberFormat="1" applyFont="1" applyBorder="1" applyAlignment="1">
      <alignment/>
    </xf>
    <xf numFmtId="184" fontId="1" fillId="0" borderId="20" xfId="0" applyNumberFormat="1" applyFont="1" applyBorder="1" applyAlignment="1" quotePrefix="1">
      <alignment horizontal="center"/>
    </xf>
    <xf numFmtId="184" fontId="1" fillId="0" borderId="21" xfId="0" applyNumberFormat="1" applyFont="1" applyBorder="1" applyAlignment="1" quotePrefix="1">
      <alignment horizontal="center"/>
    </xf>
    <xf numFmtId="184" fontId="0" fillId="0" borderId="22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1" fillId="0" borderId="11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6" xfId="0" applyNumberFormat="1" applyFont="1" applyBorder="1" applyAlignment="1">
      <alignment/>
    </xf>
    <xf numFmtId="10" fontId="1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/>
    </xf>
    <xf numFmtId="0" fontId="6" fillId="0" borderId="0" xfId="0" applyFont="1" applyAlignment="1">
      <alignment/>
    </xf>
    <xf numFmtId="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81" fontId="1" fillId="0" borderId="11" xfId="0" applyNumberFormat="1" applyFont="1" applyBorder="1" applyAlignment="1">
      <alignment textRotation="90"/>
    </xf>
    <xf numFmtId="184" fontId="1" fillId="0" borderId="0" xfId="0" applyNumberFormat="1" applyFont="1" applyAlignment="1">
      <alignment/>
    </xf>
    <xf numFmtId="184" fontId="1" fillId="0" borderId="23" xfId="0" applyNumberFormat="1" applyFont="1" applyBorder="1" applyAlignment="1">
      <alignment/>
    </xf>
    <xf numFmtId="184" fontId="1" fillId="0" borderId="20" xfId="0" applyNumberFormat="1" applyFont="1" applyBorder="1" applyAlignment="1">
      <alignment/>
    </xf>
    <xf numFmtId="184" fontId="1" fillId="0" borderId="20" xfId="0" applyNumberFormat="1" applyFont="1" applyBorder="1" applyAlignment="1" quotePrefix="1">
      <alignment/>
    </xf>
    <xf numFmtId="184" fontId="1" fillId="0" borderId="21" xfId="0" applyNumberFormat="1" applyFont="1" applyBorder="1" applyAlignment="1">
      <alignment/>
    </xf>
    <xf numFmtId="184" fontId="1" fillId="0" borderId="11" xfId="0" applyNumberFormat="1" applyFont="1" applyBorder="1" applyAlignment="1">
      <alignment textRotation="90"/>
    </xf>
    <xf numFmtId="184" fontId="1" fillId="0" borderId="10" xfId="0" applyNumberFormat="1" applyFont="1" applyBorder="1" applyAlignment="1" quotePrefix="1">
      <alignment/>
    </xf>
    <xf numFmtId="184" fontId="1" fillId="0" borderId="11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4" fillId="0" borderId="12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84" fontId="1" fillId="0" borderId="15" xfId="0" applyNumberFormat="1" applyFont="1" applyBorder="1" applyAlignment="1">
      <alignment/>
    </xf>
    <xf numFmtId="184" fontId="1" fillId="0" borderId="16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184" fontId="7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84" fontId="7" fillId="0" borderId="0" xfId="0" applyNumberFormat="1" applyFont="1" applyAlignment="1">
      <alignment horizontal="centerContinuous"/>
    </xf>
    <xf numFmtId="184" fontId="10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181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10" fontId="0" fillId="0" borderId="16" xfId="0" applyNumberFormat="1" applyBorder="1" applyAlignment="1">
      <alignment/>
    </xf>
    <xf numFmtId="184" fontId="1" fillId="0" borderId="23" xfId="0" applyNumberFormat="1" applyFont="1" applyBorder="1" applyAlignment="1" quotePrefix="1">
      <alignment horizontal="left"/>
    </xf>
    <xf numFmtId="0" fontId="1" fillId="0" borderId="19" xfId="0" applyFont="1" applyBorder="1" applyAlignment="1">
      <alignment/>
    </xf>
    <xf numFmtId="184" fontId="1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84" fontId="13" fillId="0" borderId="0" xfId="0" applyNumberFormat="1" applyFont="1" applyAlignment="1" quotePrefix="1">
      <alignment horizontal="left"/>
    </xf>
    <xf numFmtId="184" fontId="1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TALIA\TION90\MINI90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DOLFO\MININA86\LIBR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1"/>
      <sheetName val="intermedia"/>
      <sheetName val="Hoja3"/>
      <sheetName val="minina90"/>
      <sheetName val="23valor"/>
      <sheetName val="COEFICIENTES VERTICALES 90"/>
      <sheetName val="COEF HORIZ 90"/>
      <sheetName val="CONSUM PUB-PRIV 90-95"/>
      <sheetName val="Hoja16"/>
    </sheetNames>
    <sheetDataSet>
      <sheetData sheetId="5">
        <row r="7">
          <cell r="D7">
            <v>11094.5</v>
          </cell>
          <cell r="E7">
            <v>25419.4</v>
          </cell>
          <cell r="F7">
            <v>17501.5</v>
          </cell>
          <cell r="G7">
            <v>3292.2</v>
          </cell>
          <cell r="H7">
            <v>0</v>
          </cell>
          <cell r="I7">
            <v>3356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649.8</v>
          </cell>
          <cell r="O7">
            <v>0</v>
          </cell>
          <cell r="P7">
            <v>2830.6</v>
          </cell>
          <cell r="Q7">
            <v>0</v>
          </cell>
          <cell r="R7">
            <v>23</v>
          </cell>
          <cell r="S7">
            <v>3433.9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68.9</v>
          </cell>
          <cell r="Y7">
            <v>13.9</v>
          </cell>
          <cell r="Z7">
            <v>291.8</v>
          </cell>
          <cell r="AA7">
            <v>141.9</v>
          </cell>
          <cell r="AB7">
            <v>68117.4</v>
          </cell>
          <cell r="AC7">
            <v>18411.5</v>
          </cell>
          <cell r="AD7">
            <v>0</v>
          </cell>
          <cell r="AE7">
            <v>456.2000000000007</v>
          </cell>
          <cell r="AF7">
            <v>1148.6</v>
          </cell>
          <cell r="AG7">
            <v>1604.8</v>
          </cell>
          <cell r="AH7">
            <v>37527.8</v>
          </cell>
          <cell r="AI7">
            <v>32895.5</v>
          </cell>
          <cell r="AJ7">
            <v>4196.2</v>
          </cell>
          <cell r="AK7">
            <v>436.1</v>
          </cell>
          <cell r="AL7">
            <v>57544.1</v>
          </cell>
          <cell r="AM7">
            <v>125661.5</v>
          </cell>
        </row>
        <row r="11">
          <cell r="D11">
            <v>14884.5</v>
          </cell>
          <cell r="E11">
            <v>16126.9</v>
          </cell>
          <cell r="F11">
            <v>0</v>
          </cell>
          <cell r="G11">
            <v>1213.8</v>
          </cell>
          <cell r="H11">
            <v>1107.6</v>
          </cell>
          <cell r="I11">
            <v>258.2</v>
          </cell>
          <cell r="J11">
            <v>23.1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6032.7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123.8</v>
          </cell>
          <cell r="Y11">
            <v>223.5</v>
          </cell>
          <cell r="Z11">
            <v>373.2</v>
          </cell>
          <cell r="AA11">
            <v>161.8</v>
          </cell>
          <cell r="AB11">
            <v>40529.1</v>
          </cell>
          <cell r="AC11">
            <v>52017.3</v>
          </cell>
          <cell r="AD11">
            <v>0</v>
          </cell>
          <cell r="AE11">
            <v>0</v>
          </cell>
          <cell r="AF11">
            <v>882</v>
          </cell>
          <cell r="AG11">
            <v>882</v>
          </cell>
          <cell r="AH11">
            <v>48771.9</v>
          </cell>
          <cell r="AI11">
            <v>43579.3</v>
          </cell>
          <cell r="AJ11">
            <v>4765.5</v>
          </cell>
          <cell r="AK11">
            <v>427.1</v>
          </cell>
          <cell r="AL11">
            <v>101671.2</v>
          </cell>
          <cell r="AM11">
            <v>142200.3</v>
          </cell>
        </row>
        <row r="15">
          <cell r="D15">
            <v>0</v>
          </cell>
          <cell r="E15">
            <v>0</v>
          </cell>
          <cell r="F15">
            <v>2275.8</v>
          </cell>
          <cell r="G15">
            <v>16.3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450.5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6.9</v>
          </cell>
          <cell r="Y15">
            <v>14.7</v>
          </cell>
          <cell r="Z15">
            <v>24.6</v>
          </cell>
          <cell r="AA15">
            <v>8.3</v>
          </cell>
          <cell r="AB15">
            <v>2797.1</v>
          </cell>
          <cell r="AC15">
            <v>2801.3</v>
          </cell>
          <cell r="AD15">
            <v>0</v>
          </cell>
          <cell r="AE15">
            <v>0</v>
          </cell>
          <cell r="AF15">
            <v>1160.4</v>
          </cell>
          <cell r="AG15">
            <v>1160.4</v>
          </cell>
          <cell r="AH15">
            <v>34799.2</v>
          </cell>
          <cell r="AI15">
            <v>28230.8</v>
          </cell>
          <cell r="AJ15">
            <v>5948.9</v>
          </cell>
          <cell r="AK15">
            <v>619.5</v>
          </cell>
          <cell r="AL15">
            <v>38760.9</v>
          </cell>
          <cell r="AM15">
            <v>41558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5333.5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6018.4</v>
          </cell>
          <cell r="T19">
            <v>0</v>
          </cell>
          <cell r="U19">
            <v>0</v>
          </cell>
          <cell r="V19">
            <v>0</v>
          </cell>
          <cell r="W19">
            <v>1.1</v>
          </cell>
          <cell r="X19">
            <v>7.1</v>
          </cell>
          <cell r="Y19">
            <v>9.1</v>
          </cell>
          <cell r="Z19">
            <v>31.6</v>
          </cell>
          <cell r="AA19">
            <v>28.7</v>
          </cell>
          <cell r="AB19">
            <v>11429.5</v>
          </cell>
          <cell r="AC19">
            <v>11051.3</v>
          </cell>
          <cell r="AD19">
            <v>0</v>
          </cell>
          <cell r="AE19">
            <v>0</v>
          </cell>
          <cell r="AF19">
            <v>448.7</v>
          </cell>
          <cell r="AG19">
            <v>448.7</v>
          </cell>
          <cell r="AH19">
            <v>20913.4</v>
          </cell>
          <cell r="AI19">
            <v>11930.4</v>
          </cell>
          <cell r="AJ19">
            <v>7241</v>
          </cell>
          <cell r="AK19">
            <v>1742</v>
          </cell>
          <cell r="AL19">
            <v>32413.4</v>
          </cell>
          <cell r="AM19">
            <v>43842.9</v>
          </cell>
        </row>
        <row r="23">
          <cell r="D23">
            <v>65.8</v>
          </cell>
          <cell r="E23">
            <v>58.3</v>
          </cell>
          <cell r="F23">
            <v>1.5</v>
          </cell>
          <cell r="G23">
            <v>6.4</v>
          </cell>
          <cell r="H23">
            <v>5790.1</v>
          </cell>
          <cell r="I23">
            <v>8.7</v>
          </cell>
          <cell r="J23">
            <v>600.1</v>
          </cell>
          <cell r="K23">
            <v>6.9</v>
          </cell>
          <cell r="L23">
            <v>0</v>
          </cell>
          <cell r="M23">
            <v>14.7</v>
          </cell>
          <cell r="N23">
            <v>207.9</v>
          </cell>
          <cell r="O23">
            <v>329.2</v>
          </cell>
          <cell r="P23">
            <v>2498</v>
          </cell>
          <cell r="Q23">
            <v>5.6</v>
          </cell>
          <cell r="R23">
            <v>97.8</v>
          </cell>
          <cell r="S23">
            <v>322.6</v>
          </cell>
          <cell r="T23">
            <v>53.3</v>
          </cell>
          <cell r="U23">
            <v>17.1</v>
          </cell>
          <cell r="V23">
            <v>0</v>
          </cell>
          <cell r="W23">
            <v>18.5</v>
          </cell>
          <cell r="X23">
            <v>176.7</v>
          </cell>
          <cell r="Y23">
            <v>4.5</v>
          </cell>
          <cell r="Z23">
            <v>169.5</v>
          </cell>
          <cell r="AA23">
            <v>67.2</v>
          </cell>
          <cell r="AB23">
            <v>10520.4</v>
          </cell>
          <cell r="AC23">
            <v>22084</v>
          </cell>
          <cell r="AD23">
            <v>0</v>
          </cell>
          <cell r="AE23">
            <v>0</v>
          </cell>
          <cell r="AF23">
            <v>109.6</v>
          </cell>
          <cell r="AG23">
            <v>109.6</v>
          </cell>
          <cell r="AH23">
            <v>19448.2</v>
          </cell>
          <cell r="AI23">
            <v>16061.9</v>
          </cell>
          <cell r="AJ23">
            <v>2962.1</v>
          </cell>
          <cell r="AK23">
            <v>424.2</v>
          </cell>
          <cell r="AL23">
            <v>41641.8</v>
          </cell>
          <cell r="AM23">
            <v>52162.2</v>
          </cell>
        </row>
        <row r="27">
          <cell r="D27">
            <v>6.8</v>
          </cell>
          <cell r="E27">
            <v>1118.4</v>
          </cell>
          <cell r="F27">
            <v>371.3</v>
          </cell>
          <cell r="G27">
            <v>121.4</v>
          </cell>
          <cell r="H27">
            <v>128.8</v>
          </cell>
          <cell r="I27">
            <v>23244.4</v>
          </cell>
          <cell r="J27">
            <v>1269.4</v>
          </cell>
          <cell r="K27">
            <v>171.9</v>
          </cell>
          <cell r="L27">
            <v>584.3</v>
          </cell>
          <cell r="M27">
            <v>316.6</v>
          </cell>
          <cell r="N27">
            <v>839.1</v>
          </cell>
          <cell r="O27">
            <v>479.8</v>
          </cell>
          <cell r="P27">
            <v>885.5</v>
          </cell>
          <cell r="Q27">
            <v>33.7</v>
          </cell>
          <cell r="R27">
            <v>190.6</v>
          </cell>
          <cell r="S27">
            <v>826.3</v>
          </cell>
          <cell r="T27">
            <v>203.6</v>
          </cell>
          <cell r="U27">
            <v>841.4</v>
          </cell>
          <cell r="V27">
            <v>0</v>
          </cell>
          <cell r="W27">
            <v>1466</v>
          </cell>
          <cell r="X27">
            <v>516</v>
          </cell>
          <cell r="Y27">
            <v>481.9</v>
          </cell>
          <cell r="Z27">
            <v>175.9</v>
          </cell>
          <cell r="AA27">
            <v>381.7</v>
          </cell>
          <cell r="AB27">
            <v>34654.8</v>
          </cell>
          <cell r="AC27">
            <v>4438</v>
          </cell>
          <cell r="AD27">
            <v>0</v>
          </cell>
          <cell r="AE27">
            <v>38</v>
          </cell>
          <cell r="AF27">
            <v>414.8</v>
          </cell>
          <cell r="AG27">
            <v>452.8</v>
          </cell>
          <cell r="AH27">
            <v>55519.7</v>
          </cell>
          <cell r="AI27">
            <v>38036.1</v>
          </cell>
          <cell r="AJ27">
            <v>13811.5</v>
          </cell>
          <cell r="AK27">
            <v>3672.1</v>
          </cell>
          <cell r="AL27">
            <v>60410.5</v>
          </cell>
          <cell r="AM27">
            <v>95065.3</v>
          </cell>
        </row>
        <row r="31">
          <cell r="D31">
            <v>7045.7</v>
          </cell>
          <cell r="E31">
            <v>1172.9</v>
          </cell>
          <cell r="F31">
            <v>83.6</v>
          </cell>
          <cell r="G31">
            <v>1189.1</v>
          </cell>
          <cell r="H31">
            <v>2646.3</v>
          </cell>
          <cell r="I31">
            <v>3761.1</v>
          </cell>
          <cell r="J31">
            <v>21843.9</v>
          </cell>
          <cell r="K31">
            <v>1370.1</v>
          </cell>
          <cell r="L31">
            <v>82</v>
          </cell>
          <cell r="M31">
            <v>953.8</v>
          </cell>
          <cell r="N31">
            <v>10865.9</v>
          </cell>
          <cell r="O31">
            <v>3692.3</v>
          </cell>
          <cell r="P31">
            <v>2829.4</v>
          </cell>
          <cell r="Q31">
            <v>145.5</v>
          </cell>
          <cell r="R31">
            <v>2203</v>
          </cell>
          <cell r="S31">
            <v>1907.9</v>
          </cell>
          <cell r="T31">
            <v>890.6</v>
          </cell>
          <cell r="U31">
            <v>44.6</v>
          </cell>
          <cell r="V31">
            <v>0</v>
          </cell>
          <cell r="W31">
            <v>347.5</v>
          </cell>
          <cell r="X31">
            <v>232.6</v>
          </cell>
          <cell r="Y31">
            <v>34.3</v>
          </cell>
          <cell r="Z31">
            <v>4680.8</v>
          </cell>
          <cell r="AA31">
            <v>290.2</v>
          </cell>
          <cell r="AB31">
            <v>68313.1</v>
          </cell>
          <cell r="AC31">
            <v>14172.1</v>
          </cell>
          <cell r="AD31">
            <v>0</v>
          </cell>
          <cell r="AE31">
            <v>0</v>
          </cell>
          <cell r="AF31">
            <v>730.5</v>
          </cell>
          <cell r="AG31">
            <v>730.5</v>
          </cell>
          <cell r="AH31">
            <v>56029.3</v>
          </cell>
          <cell r="AI31">
            <v>43291.2</v>
          </cell>
          <cell r="AJ31">
            <v>10297.4</v>
          </cell>
          <cell r="AK31">
            <v>2440.7</v>
          </cell>
          <cell r="AL31">
            <v>70931.9</v>
          </cell>
          <cell r="AM31">
            <v>139245</v>
          </cell>
        </row>
        <row r="35">
          <cell r="D35">
            <v>13.1</v>
          </cell>
          <cell r="E35">
            <v>1256</v>
          </cell>
          <cell r="F35">
            <v>422.4</v>
          </cell>
          <cell r="G35">
            <v>817.5</v>
          </cell>
          <cell r="H35">
            <v>0</v>
          </cell>
          <cell r="I35">
            <v>0</v>
          </cell>
          <cell r="J35">
            <v>729.4</v>
          </cell>
          <cell r="K35">
            <v>9067.6</v>
          </cell>
          <cell r="L35">
            <v>326.7</v>
          </cell>
          <cell r="M35">
            <v>72.9</v>
          </cell>
          <cell r="N35">
            <v>572.7</v>
          </cell>
          <cell r="O35">
            <v>2094.7</v>
          </cell>
          <cell r="P35">
            <v>146.8</v>
          </cell>
          <cell r="Q35">
            <v>283.9</v>
          </cell>
          <cell r="R35">
            <v>22515.7</v>
          </cell>
          <cell r="S35">
            <v>262.9</v>
          </cell>
          <cell r="T35">
            <v>19.4</v>
          </cell>
          <cell r="U35">
            <v>0.7</v>
          </cell>
          <cell r="V35">
            <v>0</v>
          </cell>
          <cell r="W35">
            <v>26.6</v>
          </cell>
          <cell r="X35">
            <v>31.6</v>
          </cell>
          <cell r="Y35">
            <v>1</v>
          </cell>
          <cell r="Z35">
            <v>76.4</v>
          </cell>
          <cell r="AA35">
            <v>6.8</v>
          </cell>
          <cell r="AB35">
            <v>38744.8</v>
          </cell>
          <cell r="AC35">
            <v>792.8</v>
          </cell>
          <cell r="AD35">
            <v>0</v>
          </cell>
          <cell r="AE35">
            <v>0</v>
          </cell>
          <cell r="AF35">
            <v>18.3</v>
          </cell>
          <cell r="AG35">
            <v>18.3</v>
          </cell>
          <cell r="AH35">
            <v>29743.1</v>
          </cell>
          <cell r="AI35">
            <v>23875.5</v>
          </cell>
          <cell r="AJ35">
            <v>4937.9</v>
          </cell>
          <cell r="AK35">
            <v>929.7</v>
          </cell>
          <cell r="AL35">
            <v>30554.2</v>
          </cell>
          <cell r="AM35">
            <v>69299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23.7</v>
          </cell>
          <cell r="J39">
            <v>317.9</v>
          </cell>
          <cell r="K39">
            <v>1373.6</v>
          </cell>
          <cell r="L39">
            <v>62622.1</v>
          </cell>
          <cell r="M39">
            <v>13723.6</v>
          </cell>
          <cell r="N39">
            <v>25514.3</v>
          </cell>
          <cell r="O39">
            <v>9127.8</v>
          </cell>
          <cell r="P39">
            <v>2458.4</v>
          </cell>
          <cell r="Q39">
            <v>16.1</v>
          </cell>
          <cell r="R39">
            <v>7449.9</v>
          </cell>
          <cell r="S39">
            <v>0</v>
          </cell>
          <cell r="T39">
            <v>30.4</v>
          </cell>
          <cell r="U39">
            <v>0</v>
          </cell>
          <cell r="V39">
            <v>0</v>
          </cell>
          <cell r="W39">
            <v>0</v>
          </cell>
          <cell r="X39">
            <v>21.9</v>
          </cell>
          <cell r="Y39">
            <v>0</v>
          </cell>
          <cell r="Z39">
            <v>0</v>
          </cell>
          <cell r="AA39">
            <v>0</v>
          </cell>
          <cell r="AB39">
            <v>122679.7</v>
          </cell>
          <cell r="AC39">
            <v>0</v>
          </cell>
          <cell r="AD39">
            <v>0</v>
          </cell>
          <cell r="AE39">
            <v>0</v>
          </cell>
          <cell r="AF39">
            <v>10862.4</v>
          </cell>
          <cell r="AG39">
            <v>10862.4</v>
          </cell>
          <cell r="AH39">
            <v>81490.7</v>
          </cell>
          <cell r="AI39">
            <v>65825</v>
          </cell>
          <cell r="AJ39">
            <v>12647.7</v>
          </cell>
          <cell r="AK39">
            <v>3018</v>
          </cell>
          <cell r="AL39">
            <v>92353.1</v>
          </cell>
          <cell r="AM39">
            <v>215032.8</v>
          </cell>
        </row>
        <row r="43">
          <cell r="D43">
            <v>13.1</v>
          </cell>
          <cell r="E43">
            <v>318.7</v>
          </cell>
          <cell r="F43">
            <v>501.1</v>
          </cell>
          <cell r="G43">
            <v>758</v>
          </cell>
          <cell r="H43">
            <v>31.7</v>
          </cell>
          <cell r="I43">
            <v>49.4</v>
          </cell>
          <cell r="J43">
            <v>97.6</v>
          </cell>
          <cell r="K43">
            <v>36.8</v>
          </cell>
          <cell r="L43">
            <v>122.9</v>
          </cell>
          <cell r="M43">
            <v>1923.7</v>
          </cell>
          <cell r="N43">
            <v>3319.7</v>
          </cell>
          <cell r="O43">
            <v>3052.9</v>
          </cell>
          <cell r="P43">
            <v>777.2</v>
          </cell>
          <cell r="Q43">
            <v>125.3</v>
          </cell>
          <cell r="R43">
            <v>7422.3</v>
          </cell>
          <cell r="S43">
            <v>46.8</v>
          </cell>
          <cell r="T43">
            <v>25.3</v>
          </cell>
          <cell r="U43">
            <v>0</v>
          </cell>
          <cell r="V43">
            <v>0</v>
          </cell>
          <cell r="W43">
            <v>10</v>
          </cell>
          <cell r="X43">
            <v>88.6</v>
          </cell>
          <cell r="Y43">
            <v>6.7</v>
          </cell>
          <cell r="Z43">
            <v>81.3</v>
          </cell>
          <cell r="AA43">
            <v>5.8</v>
          </cell>
          <cell r="AB43">
            <v>18814.9</v>
          </cell>
          <cell r="AC43">
            <v>1693.6</v>
          </cell>
          <cell r="AD43">
            <v>0</v>
          </cell>
          <cell r="AE43">
            <v>9223.7</v>
          </cell>
          <cell r="AF43">
            <v>1125.9</v>
          </cell>
          <cell r="AG43">
            <v>10349.6</v>
          </cell>
          <cell r="AH43">
            <v>32005.5</v>
          </cell>
          <cell r="AI43">
            <v>26539.4</v>
          </cell>
          <cell r="AJ43">
            <v>3548.7</v>
          </cell>
          <cell r="AK43">
            <v>1917.4</v>
          </cell>
          <cell r="AL43">
            <v>44048.7</v>
          </cell>
          <cell r="AM43">
            <v>62863.6</v>
          </cell>
        </row>
        <row r="47">
          <cell r="D47">
            <v>3345.4</v>
          </cell>
          <cell r="E47">
            <v>1097.1</v>
          </cell>
          <cell r="F47">
            <v>493.4</v>
          </cell>
          <cell r="G47">
            <v>297.3</v>
          </cell>
          <cell r="H47">
            <v>204.5</v>
          </cell>
          <cell r="I47">
            <v>1134.6</v>
          </cell>
          <cell r="J47">
            <v>998.7</v>
          </cell>
          <cell r="K47">
            <v>2652</v>
          </cell>
          <cell r="L47">
            <v>4770.8</v>
          </cell>
          <cell r="M47">
            <v>859.7</v>
          </cell>
          <cell r="N47">
            <v>36739.4</v>
          </cell>
          <cell r="O47">
            <v>12989.8</v>
          </cell>
          <cell r="P47">
            <v>480.2</v>
          </cell>
          <cell r="Q47">
            <v>465.4</v>
          </cell>
          <cell r="R47">
            <v>14512.9</v>
          </cell>
          <cell r="S47">
            <v>2687.2</v>
          </cell>
          <cell r="T47">
            <v>406.2</v>
          </cell>
          <cell r="U47">
            <v>483.4</v>
          </cell>
          <cell r="V47">
            <v>0</v>
          </cell>
          <cell r="W47">
            <v>1412</v>
          </cell>
          <cell r="X47">
            <v>24.5</v>
          </cell>
          <cell r="Y47">
            <v>48</v>
          </cell>
          <cell r="Z47">
            <v>847.1</v>
          </cell>
          <cell r="AA47">
            <v>1024.9</v>
          </cell>
          <cell r="AB47">
            <v>87974.5</v>
          </cell>
          <cell r="AC47">
            <v>8748.9</v>
          </cell>
          <cell r="AD47">
            <v>0</v>
          </cell>
          <cell r="AE47">
            <v>50024.3</v>
          </cell>
          <cell r="AF47">
            <v>2091.8</v>
          </cell>
          <cell r="AG47">
            <v>52116.1</v>
          </cell>
          <cell r="AH47">
            <v>122956.6</v>
          </cell>
          <cell r="AI47">
            <v>63569.5</v>
          </cell>
          <cell r="AJ47">
            <v>47921.6</v>
          </cell>
          <cell r="AK47">
            <v>11465.5</v>
          </cell>
          <cell r="AL47">
            <v>183821.6</v>
          </cell>
          <cell r="AM47">
            <v>271796.1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98552.6</v>
          </cell>
          <cell r="P51">
            <v>0</v>
          </cell>
          <cell r="Q51">
            <v>0</v>
          </cell>
          <cell r="R51">
            <v>0</v>
          </cell>
          <cell r="S51">
            <v>1736.9</v>
          </cell>
          <cell r="T51">
            <v>644</v>
          </cell>
          <cell r="U51">
            <v>0</v>
          </cell>
          <cell r="V51">
            <v>0</v>
          </cell>
          <cell r="W51">
            <v>32.3</v>
          </cell>
          <cell r="X51">
            <v>31.2</v>
          </cell>
          <cell r="Y51">
            <v>2.1</v>
          </cell>
          <cell r="Z51">
            <v>0</v>
          </cell>
          <cell r="AA51">
            <v>7.4</v>
          </cell>
          <cell r="AB51">
            <v>101006.5</v>
          </cell>
          <cell r="AC51">
            <v>20452</v>
          </cell>
          <cell r="AD51">
            <v>0</v>
          </cell>
          <cell r="AE51">
            <v>10616.1</v>
          </cell>
          <cell r="AF51">
            <v>1221.1</v>
          </cell>
          <cell r="AG51">
            <v>11837.2</v>
          </cell>
          <cell r="AH51">
            <v>161188.1</v>
          </cell>
          <cell r="AI51">
            <v>15299.2</v>
          </cell>
          <cell r="AJ51">
            <v>131505.9</v>
          </cell>
          <cell r="AK51">
            <v>14383</v>
          </cell>
          <cell r="AL51">
            <v>193477.3</v>
          </cell>
          <cell r="AM51">
            <v>294483.8</v>
          </cell>
        </row>
        <row r="55">
          <cell r="D55">
            <v>11.3</v>
          </cell>
          <cell r="E55">
            <v>309.8</v>
          </cell>
          <cell r="F55">
            <v>28.2</v>
          </cell>
          <cell r="G55">
            <v>138.7</v>
          </cell>
          <cell r="H55">
            <v>30.9</v>
          </cell>
          <cell r="I55">
            <v>261.2</v>
          </cell>
          <cell r="J55">
            <v>0</v>
          </cell>
          <cell r="K55">
            <v>34.2</v>
          </cell>
          <cell r="L55">
            <v>2500.4</v>
          </cell>
          <cell r="M55">
            <v>60.7</v>
          </cell>
          <cell r="N55">
            <v>412.9</v>
          </cell>
          <cell r="O55">
            <v>4205.8</v>
          </cell>
          <cell r="P55">
            <v>11556.3</v>
          </cell>
          <cell r="Q55">
            <v>7.7</v>
          </cell>
          <cell r="R55">
            <v>2113.8</v>
          </cell>
          <cell r="S55">
            <v>112.5</v>
          </cell>
          <cell r="T55">
            <v>37.2</v>
          </cell>
          <cell r="U55">
            <v>58.5</v>
          </cell>
          <cell r="V55">
            <v>0</v>
          </cell>
          <cell r="W55">
            <v>53.6</v>
          </cell>
          <cell r="X55">
            <v>140.5</v>
          </cell>
          <cell r="Y55">
            <v>2.3</v>
          </cell>
          <cell r="Z55">
            <v>141.2</v>
          </cell>
          <cell r="AA55">
            <v>133</v>
          </cell>
          <cell r="AB55">
            <v>22350.7</v>
          </cell>
          <cell r="AC55">
            <v>11393.9</v>
          </cell>
          <cell r="AD55">
            <v>0</v>
          </cell>
          <cell r="AE55">
            <v>4782.3</v>
          </cell>
          <cell r="AF55">
            <v>513.5</v>
          </cell>
          <cell r="AG55">
            <v>5295.8</v>
          </cell>
          <cell r="AH55">
            <v>31655.1</v>
          </cell>
          <cell r="AI55">
            <v>23918.5</v>
          </cell>
          <cell r="AJ55">
            <v>6199.8</v>
          </cell>
          <cell r="AK55">
            <v>1536.8</v>
          </cell>
          <cell r="AL55">
            <v>48344.8</v>
          </cell>
          <cell r="AM55">
            <v>70695.5</v>
          </cell>
        </row>
        <row r="59">
          <cell r="D59">
            <v>2409.3</v>
          </cell>
          <cell r="E59">
            <v>2086.6</v>
          </cell>
          <cell r="F59">
            <v>600.5</v>
          </cell>
          <cell r="G59">
            <v>336.9</v>
          </cell>
          <cell r="H59">
            <v>632.7</v>
          </cell>
          <cell r="I59">
            <v>2199.9</v>
          </cell>
          <cell r="J59">
            <v>5426.7</v>
          </cell>
          <cell r="K59">
            <v>4551.1</v>
          </cell>
          <cell r="L59">
            <v>3139</v>
          </cell>
          <cell r="M59">
            <v>688.3</v>
          </cell>
          <cell r="N59">
            <v>1356.9</v>
          </cell>
          <cell r="O59">
            <v>1411.5</v>
          </cell>
          <cell r="P59">
            <v>683.8</v>
          </cell>
          <cell r="Q59">
            <v>94.6</v>
          </cell>
          <cell r="R59">
            <v>1613.4</v>
          </cell>
          <cell r="S59">
            <v>3796.1</v>
          </cell>
          <cell r="T59">
            <v>6894</v>
          </cell>
          <cell r="U59">
            <v>511</v>
          </cell>
          <cell r="V59">
            <v>0</v>
          </cell>
          <cell r="W59">
            <v>3974.9</v>
          </cell>
          <cell r="X59">
            <v>1940.2</v>
          </cell>
          <cell r="Y59">
            <v>711.5</v>
          </cell>
          <cell r="Z59">
            <v>771</v>
          </cell>
          <cell r="AA59">
            <v>1344.1</v>
          </cell>
          <cell r="AB59">
            <v>47174</v>
          </cell>
          <cell r="AC59">
            <v>30252.2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30252.2</v>
          </cell>
          <cell r="AM59">
            <v>77426.2</v>
          </cell>
        </row>
        <row r="63">
          <cell r="D63">
            <v>1501.9</v>
          </cell>
          <cell r="E63">
            <v>386.9</v>
          </cell>
          <cell r="F63">
            <v>122.4</v>
          </cell>
          <cell r="G63">
            <v>61.9</v>
          </cell>
          <cell r="H63">
            <v>23.5</v>
          </cell>
          <cell r="I63">
            <v>87.4</v>
          </cell>
          <cell r="J63">
            <v>190.6</v>
          </cell>
          <cell r="K63">
            <v>444.1</v>
          </cell>
          <cell r="L63">
            <v>376.7</v>
          </cell>
          <cell r="M63">
            <v>73.5</v>
          </cell>
          <cell r="N63">
            <v>121.3</v>
          </cell>
          <cell r="O63">
            <v>441.4</v>
          </cell>
          <cell r="P63">
            <v>326.6</v>
          </cell>
          <cell r="Q63">
            <v>1045.9</v>
          </cell>
          <cell r="R63">
            <v>18.7</v>
          </cell>
          <cell r="S63">
            <v>3579.6</v>
          </cell>
          <cell r="T63">
            <v>1238.5</v>
          </cell>
          <cell r="U63">
            <v>1814.2</v>
          </cell>
          <cell r="V63">
            <v>0</v>
          </cell>
          <cell r="W63">
            <v>8982.1</v>
          </cell>
          <cell r="X63">
            <v>1145.6</v>
          </cell>
          <cell r="Y63">
            <v>479.1</v>
          </cell>
          <cell r="Z63">
            <v>306.5</v>
          </cell>
          <cell r="AA63">
            <v>920.6</v>
          </cell>
          <cell r="AB63">
            <v>23689</v>
          </cell>
          <cell r="AC63">
            <v>2751.8</v>
          </cell>
          <cell r="AD63">
            <v>0</v>
          </cell>
          <cell r="AE63">
            <v>121981.1</v>
          </cell>
          <cell r="AF63">
            <v>0</v>
          </cell>
          <cell r="AG63">
            <v>121981.1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124732.9</v>
          </cell>
          <cell r="AM63">
            <v>148421.9</v>
          </cell>
        </row>
        <row r="67">
          <cell r="D67">
            <v>3247.7</v>
          </cell>
          <cell r="E67">
            <v>4139.9</v>
          </cell>
          <cell r="F67">
            <v>1394.2</v>
          </cell>
          <cell r="G67">
            <v>1164.3</v>
          </cell>
          <cell r="H67">
            <v>1278.5</v>
          </cell>
          <cell r="I67">
            <v>3780.7</v>
          </cell>
          <cell r="J67">
            <v>2823</v>
          </cell>
          <cell r="K67">
            <v>1403.6</v>
          </cell>
          <cell r="L67">
            <v>6022.2</v>
          </cell>
          <cell r="M67">
            <v>1679.3</v>
          </cell>
          <cell r="N67">
            <v>6826.4</v>
          </cell>
          <cell r="O67">
            <v>5956.5</v>
          </cell>
          <cell r="P67">
            <v>2561.1</v>
          </cell>
          <cell r="Q67">
            <v>172.5</v>
          </cell>
          <cell r="R67">
            <v>6648.3</v>
          </cell>
          <cell r="S67">
            <v>11459.9</v>
          </cell>
          <cell r="T67">
            <v>6832.6</v>
          </cell>
          <cell r="U67">
            <v>1657.8</v>
          </cell>
          <cell r="V67">
            <v>0</v>
          </cell>
          <cell r="W67">
            <v>2211</v>
          </cell>
          <cell r="X67">
            <v>1515.5</v>
          </cell>
          <cell r="Y67">
            <v>839.1</v>
          </cell>
          <cell r="Z67">
            <v>1798.9</v>
          </cell>
          <cell r="AA67">
            <v>996.2</v>
          </cell>
          <cell r="AB67">
            <v>76409.2</v>
          </cell>
          <cell r="AC67">
            <v>157729.7</v>
          </cell>
          <cell r="AD67">
            <v>0</v>
          </cell>
          <cell r="AE67">
            <v>4746.1</v>
          </cell>
          <cell r="AF67">
            <v>0</v>
          </cell>
          <cell r="AG67">
            <v>4746.1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162475.8</v>
          </cell>
          <cell r="AM67">
            <v>238885</v>
          </cell>
        </row>
        <row r="71">
          <cell r="D71">
            <v>508.7</v>
          </cell>
          <cell r="E71">
            <v>2607.7</v>
          </cell>
          <cell r="F71">
            <v>1554.8</v>
          </cell>
          <cell r="G71">
            <v>800.1</v>
          </cell>
          <cell r="H71">
            <v>662.2</v>
          </cell>
          <cell r="I71">
            <v>3654.9</v>
          </cell>
          <cell r="J71">
            <v>3047</v>
          </cell>
          <cell r="K71">
            <v>3815.3</v>
          </cell>
          <cell r="L71">
            <v>8153.8</v>
          </cell>
          <cell r="M71">
            <v>1210.3</v>
          </cell>
          <cell r="N71">
            <v>3848.4</v>
          </cell>
          <cell r="O71">
            <v>3469.1</v>
          </cell>
          <cell r="P71">
            <v>1568.5</v>
          </cell>
          <cell r="Q71">
            <v>107.6</v>
          </cell>
          <cell r="R71">
            <v>6081.6</v>
          </cell>
          <cell r="S71">
            <v>10660.7</v>
          </cell>
          <cell r="T71">
            <v>12498.3</v>
          </cell>
          <cell r="U71">
            <v>2666.6</v>
          </cell>
          <cell r="V71">
            <v>0</v>
          </cell>
          <cell r="W71">
            <v>1580</v>
          </cell>
          <cell r="X71">
            <v>1409.5</v>
          </cell>
          <cell r="Y71">
            <v>1204.8</v>
          </cell>
          <cell r="Z71">
            <v>511</v>
          </cell>
          <cell r="AA71">
            <v>1359.2</v>
          </cell>
          <cell r="AB71">
            <v>72980.1</v>
          </cell>
          <cell r="AC71">
            <v>17818</v>
          </cell>
          <cell r="AD71">
            <v>0</v>
          </cell>
          <cell r="AE71">
            <v>2451.3</v>
          </cell>
          <cell r="AF71">
            <v>0</v>
          </cell>
          <cell r="AG71">
            <v>2451.3</v>
          </cell>
          <cell r="AH71">
            <v>4177.4</v>
          </cell>
          <cell r="AI71">
            <v>3617.6</v>
          </cell>
          <cell r="AJ71">
            <v>499.2</v>
          </cell>
          <cell r="AK71">
            <v>60.6</v>
          </cell>
          <cell r="AL71">
            <v>24446.7</v>
          </cell>
          <cell r="AM71">
            <v>97426.8</v>
          </cell>
        </row>
        <row r="75">
          <cell r="D75">
            <v>455.5</v>
          </cell>
          <cell r="E75">
            <v>211</v>
          </cell>
          <cell r="F75">
            <v>191.5</v>
          </cell>
          <cell r="G75">
            <v>56</v>
          </cell>
          <cell r="H75">
            <v>65.8</v>
          </cell>
          <cell r="I75">
            <v>168.7</v>
          </cell>
          <cell r="J75">
            <v>167.1</v>
          </cell>
          <cell r="K75">
            <v>255.2</v>
          </cell>
          <cell r="L75">
            <v>394.3</v>
          </cell>
          <cell r="M75">
            <v>209.7</v>
          </cell>
          <cell r="N75">
            <v>453.3</v>
          </cell>
          <cell r="O75">
            <v>200.6</v>
          </cell>
          <cell r="P75">
            <v>242.3</v>
          </cell>
          <cell r="Q75">
            <v>107</v>
          </cell>
          <cell r="R75">
            <v>552.9</v>
          </cell>
          <cell r="S75">
            <v>975.4</v>
          </cell>
          <cell r="T75">
            <v>539.2</v>
          </cell>
          <cell r="U75">
            <v>3738</v>
          </cell>
          <cell r="V75">
            <v>58324</v>
          </cell>
          <cell r="W75">
            <v>565.4</v>
          </cell>
          <cell r="X75">
            <v>119.8</v>
          </cell>
          <cell r="Y75">
            <v>30.3</v>
          </cell>
          <cell r="Z75">
            <v>33.6</v>
          </cell>
          <cell r="AA75">
            <v>263.2</v>
          </cell>
          <cell r="AB75">
            <v>68319.8</v>
          </cell>
          <cell r="AC75">
            <v>8059.4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8059.4</v>
          </cell>
          <cell r="AM75">
            <v>76379.2</v>
          </cell>
        </row>
        <row r="79">
          <cell r="D79">
            <v>19.5</v>
          </cell>
          <cell r="E79">
            <v>1971.6</v>
          </cell>
          <cell r="F79">
            <v>2219.7</v>
          </cell>
          <cell r="G79">
            <v>1563.2</v>
          </cell>
          <cell r="H79">
            <v>1239.1</v>
          </cell>
          <cell r="I79">
            <v>3174</v>
          </cell>
          <cell r="J79">
            <v>2199.2</v>
          </cell>
          <cell r="K79">
            <v>1991.8</v>
          </cell>
          <cell r="L79">
            <v>2304.6</v>
          </cell>
          <cell r="M79">
            <v>1324.3</v>
          </cell>
          <cell r="N79">
            <v>4440.6</v>
          </cell>
          <cell r="O79">
            <v>1876.7</v>
          </cell>
          <cell r="P79">
            <v>1716.2</v>
          </cell>
          <cell r="Q79">
            <v>778.4</v>
          </cell>
          <cell r="R79">
            <v>3234.2</v>
          </cell>
          <cell r="S79">
            <v>16713.7</v>
          </cell>
          <cell r="T79">
            <v>2905.6</v>
          </cell>
          <cell r="U79">
            <v>7554.1</v>
          </cell>
          <cell r="V79">
            <v>0</v>
          </cell>
          <cell r="W79">
            <v>4875.3</v>
          </cell>
          <cell r="X79">
            <v>8827.4</v>
          </cell>
          <cell r="Y79">
            <v>1150.9</v>
          </cell>
          <cell r="Z79">
            <v>1624.7</v>
          </cell>
          <cell r="AA79">
            <v>5049</v>
          </cell>
          <cell r="AB79">
            <v>78753.8</v>
          </cell>
          <cell r="AC79">
            <v>59600.9</v>
          </cell>
          <cell r="AD79">
            <v>0</v>
          </cell>
          <cell r="AE79">
            <v>1296.2</v>
          </cell>
          <cell r="AF79">
            <v>0</v>
          </cell>
          <cell r="AG79">
            <v>1296.2</v>
          </cell>
          <cell r="AH79">
            <v>734.8</v>
          </cell>
          <cell r="AI79">
            <v>717.6</v>
          </cell>
          <cell r="AJ79">
            <v>17.2</v>
          </cell>
          <cell r="AK79">
            <v>0</v>
          </cell>
          <cell r="AL79">
            <v>61631.9</v>
          </cell>
          <cell r="AM79">
            <v>140385.7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51932.8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51932.8</v>
          </cell>
          <cell r="AM83">
            <v>51932.8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2.4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24.9</v>
          </cell>
          <cell r="Z87">
            <v>0</v>
          </cell>
          <cell r="AA87">
            <v>0</v>
          </cell>
          <cell r="AB87">
            <v>27.3</v>
          </cell>
          <cell r="AC87">
            <v>19504</v>
          </cell>
          <cell r="AD87">
            <v>13701.4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33205.4</v>
          </cell>
          <cell r="AM87">
            <v>33232.7</v>
          </cell>
        </row>
        <row r="91">
          <cell r="D91">
            <v>189.9</v>
          </cell>
          <cell r="E91">
            <v>16.1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2.4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770.9</v>
          </cell>
          <cell r="V91">
            <v>0</v>
          </cell>
          <cell r="W91">
            <v>0</v>
          </cell>
          <cell r="X91">
            <v>0</v>
          </cell>
          <cell r="Y91">
            <v>85.2</v>
          </cell>
          <cell r="Z91">
            <v>2934.7</v>
          </cell>
          <cell r="AA91">
            <v>1.7</v>
          </cell>
          <cell r="AB91">
            <v>4000.9</v>
          </cell>
          <cell r="AC91">
            <v>27884.8</v>
          </cell>
          <cell r="AD91">
            <v>27195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55079.8</v>
          </cell>
          <cell r="AM91">
            <v>59080.7</v>
          </cell>
        </row>
        <row r="95">
          <cell r="D95">
            <v>10</v>
          </cell>
          <cell r="E95">
            <v>7.6</v>
          </cell>
          <cell r="F95">
            <v>0.8</v>
          </cell>
          <cell r="G95">
            <v>3.2</v>
          </cell>
          <cell r="H95">
            <v>0</v>
          </cell>
          <cell r="I95">
            <v>43.9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6.5</v>
          </cell>
          <cell r="O95">
            <v>4.8</v>
          </cell>
          <cell r="P95">
            <v>0</v>
          </cell>
          <cell r="Q95">
            <v>0</v>
          </cell>
          <cell r="R95">
            <v>153</v>
          </cell>
          <cell r="S95">
            <v>253.2</v>
          </cell>
          <cell r="T95">
            <v>36.4</v>
          </cell>
          <cell r="U95">
            <v>37.2</v>
          </cell>
          <cell r="V95">
            <v>0</v>
          </cell>
          <cell r="W95">
            <v>1419</v>
          </cell>
          <cell r="X95">
            <v>2262.4</v>
          </cell>
          <cell r="Y95">
            <v>26.6</v>
          </cell>
          <cell r="Z95">
            <v>428.5</v>
          </cell>
          <cell r="AA95">
            <v>4290.6</v>
          </cell>
          <cell r="AB95">
            <v>8983.7</v>
          </cell>
          <cell r="AC95">
            <v>34019.8</v>
          </cell>
          <cell r="AD95">
            <v>2778.7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36798.5</v>
          </cell>
          <cell r="AM95">
            <v>45782.2</v>
          </cell>
        </row>
        <row r="100">
          <cell r="D100">
            <v>44822.7</v>
          </cell>
          <cell r="F100">
            <v>27762.7</v>
          </cell>
          <cell r="G100">
            <v>17169.8</v>
          </cell>
          <cell r="H100">
            <v>13841.7</v>
          </cell>
          <cell r="I100">
            <v>45206.8</v>
          </cell>
          <cell r="J100">
            <v>39733.7</v>
          </cell>
          <cell r="K100">
            <v>27174.2</v>
          </cell>
          <cell r="L100">
            <v>91399.8</v>
          </cell>
          <cell r="M100">
            <v>23111.1</v>
          </cell>
          <cell r="N100">
            <v>96179.9</v>
          </cell>
          <cell r="O100">
            <v>147885.5</v>
          </cell>
          <cell r="P100">
            <v>31560.9</v>
          </cell>
          <cell r="Q100">
            <v>3389.2</v>
          </cell>
          <cell r="R100">
            <v>74831.1</v>
          </cell>
          <cell r="S100">
            <v>71277.2</v>
          </cell>
          <cell r="T100">
            <v>33254.6</v>
          </cell>
          <cell r="U100">
            <v>20195.5</v>
          </cell>
          <cell r="W100">
            <v>26975.3</v>
          </cell>
          <cell r="X100">
            <v>18690.7</v>
          </cell>
          <cell r="Y100">
            <v>5394.4</v>
          </cell>
          <cell r="Z100">
            <v>15302.3</v>
          </cell>
          <cell r="AA100">
            <v>16482.3</v>
          </cell>
          <cell r="AB100">
            <v>1008270.3</v>
          </cell>
        </row>
        <row r="101">
          <cell r="D101">
            <v>2314.3159781063764</v>
          </cell>
          <cell r="E101">
            <v>8494.89566645317</v>
          </cell>
          <cell r="F101">
            <v>3723.676811648092</v>
          </cell>
          <cell r="G101">
            <v>2644.297617469535</v>
          </cell>
          <cell r="H101">
            <v>3276.50543120269</v>
          </cell>
          <cell r="I101">
            <v>11463.732675248</v>
          </cell>
          <cell r="J101">
            <v>8731.361343698843</v>
          </cell>
          <cell r="K101">
            <v>8827.870542237162</v>
          </cell>
          <cell r="L101">
            <v>10221.0692485315</v>
          </cell>
          <cell r="M101">
            <v>8145.577255153859</v>
          </cell>
          <cell r="N101">
            <v>18906.278979444054</v>
          </cell>
          <cell r="O101">
            <v>26248.3747956536</v>
          </cell>
          <cell r="P101">
            <v>5593.61644606027</v>
          </cell>
          <cell r="Q101">
            <v>2207.8293248319537</v>
          </cell>
          <cell r="R101">
            <v>22704.2424768091</v>
          </cell>
          <cell r="S101">
            <v>28706.588541915527</v>
          </cell>
          <cell r="T101">
            <v>12934.9369367519</v>
          </cell>
          <cell r="U101">
            <v>15265.2168424359</v>
          </cell>
          <cell r="W101">
            <v>12553.4353492968</v>
          </cell>
          <cell r="X101">
            <v>29255.678350578703</v>
          </cell>
          <cell r="Y101">
            <v>20496.0346430899</v>
          </cell>
          <cell r="Z101">
            <v>32322.3505553815</v>
          </cell>
          <cell r="AA101">
            <v>13664.668485898635</v>
          </cell>
          <cell r="AB101">
            <v>308702.5542978971</v>
          </cell>
        </row>
        <row r="102">
          <cell r="D102">
            <v>384.76693627776785</v>
          </cell>
          <cell r="E102">
            <v>2498.89889072431</v>
          </cell>
          <cell r="F102">
            <v>1056.1589358836234</v>
          </cell>
          <cell r="G102">
            <v>669.9407334624219</v>
          </cell>
          <cell r="H102">
            <v>1213.984128982</v>
          </cell>
          <cell r="I102">
            <v>3006.29781612219</v>
          </cell>
          <cell r="J102">
            <v>2112.4085759012105</v>
          </cell>
          <cell r="K102">
            <v>2604.4785026590826</v>
          </cell>
          <cell r="L102">
            <v>3420.24946135104</v>
          </cell>
          <cell r="M102">
            <v>2363.6370047976</v>
          </cell>
          <cell r="N102">
            <v>5293.765370575052</v>
          </cell>
          <cell r="O102">
            <v>8832.86188499712</v>
          </cell>
          <cell r="P102">
            <v>1719.45624538112</v>
          </cell>
          <cell r="Q102">
            <v>692.3446545516742</v>
          </cell>
          <cell r="R102">
            <v>8299.51896189346</v>
          </cell>
          <cell r="S102">
            <v>12029.454358785106</v>
          </cell>
          <cell r="T102">
            <v>4306.61025845296</v>
          </cell>
          <cell r="U102">
            <v>3870.95830302106</v>
          </cell>
          <cell r="W102">
            <v>2594.56972987143</v>
          </cell>
          <cell r="X102">
            <v>4651.48994549834</v>
          </cell>
          <cell r="Y102">
            <v>4924.18745364849</v>
          </cell>
          <cell r="Z102">
            <v>6958.86258674205</v>
          </cell>
          <cell r="AA102">
            <v>2623.344962523716</v>
          </cell>
          <cell r="AB102">
            <v>86128.24570210284</v>
          </cell>
        </row>
        <row r="103">
          <cell r="D103">
            <v>2699.0829143841443</v>
          </cell>
          <cell r="E103">
            <v>10993.79455717748</v>
          </cell>
          <cell r="F103">
            <v>4779.835747531715</v>
          </cell>
          <cell r="G103">
            <v>3314.238350931957</v>
          </cell>
          <cell r="H103">
            <v>4490.48956018469</v>
          </cell>
          <cell r="I103">
            <v>14470.030491370191</v>
          </cell>
          <cell r="J103">
            <v>10843.769919600054</v>
          </cell>
          <cell r="K103">
            <v>11432.349044896244</v>
          </cell>
          <cell r="L103">
            <v>13641.31870988254</v>
          </cell>
          <cell r="M103">
            <v>10509.21425995146</v>
          </cell>
          <cell r="N103">
            <v>24200.044350019107</v>
          </cell>
          <cell r="O103">
            <v>35081.23668065072</v>
          </cell>
          <cell r="P103">
            <v>7313.07269144139</v>
          </cell>
          <cell r="Q103">
            <v>2900.1739793836277</v>
          </cell>
          <cell r="R103">
            <v>31003.76143870256</v>
          </cell>
          <cell r="S103">
            <v>40736.04290070063</v>
          </cell>
          <cell r="T103">
            <v>17241.54719520486</v>
          </cell>
          <cell r="U103">
            <v>19136.17514545696</v>
          </cell>
          <cell r="W103">
            <v>15148.00507916823</v>
          </cell>
          <cell r="X103">
            <v>33907.16829607704</v>
          </cell>
          <cell r="Y103">
            <v>25420.22209673839</v>
          </cell>
          <cell r="Z103">
            <v>39281.21314212355</v>
          </cell>
          <cell r="AA103">
            <v>16288.01344842235</v>
          </cell>
          <cell r="AB103">
            <v>394830.8</v>
          </cell>
        </row>
        <row r="104">
          <cell r="D104">
            <v>36713.817085615854</v>
          </cell>
          <cell r="E104">
            <v>9864.00544282252</v>
          </cell>
          <cell r="F104">
            <v>5990.064252468284</v>
          </cell>
          <cell r="G104">
            <v>4172.061649068043</v>
          </cell>
          <cell r="H104">
            <v>2852.91043981531</v>
          </cell>
          <cell r="I104">
            <v>7612.16950862982</v>
          </cell>
          <cell r="J104">
            <v>13330.830080399945</v>
          </cell>
          <cell r="K104">
            <v>17299.250955103755</v>
          </cell>
          <cell r="L104">
            <v>7945.48129011747</v>
          </cell>
          <cell r="M104">
            <v>8091.68574004854</v>
          </cell>
          <cell r="N104">
            <v>26992.955649980897</v>
          </cell>
          <cell r="O104">
            <v>12451.66331934925</v>
          </cell>
          <cell r="P104">
            <v>8376.027308558609</v>
          </cell>
          <cell r="Q104">
            <v>17852.32602061637</v>
          </cell>
          <cell r="R104">
            <v>30895.7385612974</v>
          </cell>
          <cell r="S104">
            <v>53700.95709929937</v>
          </cell>
          <cell r="T104">
            <v>27234.9528047952</v>
          </cell>
          <cell r="U104">
            <v>35996.0248545429</v>
          </cell>
          <cell r="W104">
            <v>83865.4949208318</v>
          </cell>
          <cell r="X104">
            <v>5969.83170392295</v>
          </cell>
          <cell r="Y104">
            <v>5927.47790326164</v>
          </cell>
          <cell r="Z104">
            <v>2279.78685787643</v>
          </cell>
          <cell r="AA104">
            <v>7052.5865515776</v>
          </cell>
          <cell r="AB104">
            <v>374144.1</v>
          </cell>
        </row>
        <row r="105">
          <cell r="D105">
            <v>39412.9</v>
          </cell>
          <cell r="E105">
            <v>20857.8</v>
          </cell>
          <cell r="F105">
            <v>10769.9</v>
          </cell>
          <cell r="G105">
            <v>7486.3</v>
          </cell>
          <cell r="H105">
            <v>7343.4</v>
          </cell>
          <cell r="I105">
            <v>22082.2</v>
          </cell>
          <cell r="J105">
            <v>24174.6</v>
          </cell>
          <cell r="K105">
            <v>28731.6</v>
          </cell>
          <cell r="L105">
            <v>21586.8</v>
          </cell>
          <cell r="M105">
            <v>18600.9</v>
          </cell>
          <cell r="N105">
            <v>51193</v>
          </cell>
          <cell r="O105">
            <v>47532.9</v>
          </cell>
          <cell r="P105">
            <v>15689.1</v>
          </cell>
          <cell r="Q105">
            <v>20752.5</v>
          </cell>
          <cell r="R105">
            <v>61899.5</v>
          </cell>
          <cell r="S105">
            <v>94437</v>
          </cell>
          <cell r="T105">
            <v>44476.50000000006</v>
          </cell>
          <cell r="U105">
            <v>55132.19999999986</v>
          </cell>
          <cell r="W105">
            <v>99013.5</v>
          </cell>
          <cell r="X105">
            <v>39877</v>
          </cell>
          <cell r="Y105">
            <v>31347.7</v>
          </cell>
          <cell r="Z105">
            <v>41561</v>
          </cell>
          <cell r="AA105">
            <v>23340.6</v>
          </cell>
          <cell r="AB105">
            <v>768974.9</v>
          </cell>
        </row>
        <row r="106">
          <cell r="D106">
            <v>150</v>
          </cell>
          <cell r="E106">
            <v>1364.2</v>
          </cell>
          <cell r="F106">
            <v>569.6</v>
          </cell>
          <cell r="G106">
            <v>394.9</v>
          </cell>
          <cell r="H106">
            <v>33</v>
          </cell>
          <cell r="I106">
            <v>310.1</v>
          </cell>
          <cell r="J106">
            <v>58.6</v>
          </cell>
          <cell r="K106">
            <v>160.6</v>
          </cell>
          <cell r="L106">
            <v>116.5</v>
          </cell>
          <cell r="M106">
            <v>78.2</v>
          </cell>
          <cell r="N106">
            <v>171.1</v>
          </cell>
          <cell r="O106">
            <v>61.1</v>
          </cell>
          <cell r="P106">
            <v>110.7</v>
          </cell>
          <cell r="Q106">
            <v>72.1</v>
          </cell>
          <cell r="R106">
            <v>1889.1</v>
          </cell>
          <cell r="S106">
            <v>4839.3</v>
          </cell>
          <cell r="T106">
            <v>455.9</v>
          </cell>
          <cell r="U106">
            <v>79</v>
          </cell>
          <cell r="W106">
            <v>332.5</v>
          </cell>
          <cell r="X106">
            <v>0</v>
          </cell>
          <cell r="Y106">
            <v>27.5</v>
          </cell>
          <cell r="Z106">
            <v>23.2</v>
          </cell>
          <cell r="AA106">
            <v>2684.5</v>
          </cell>
          <cell r="AB106">
            <v>13981.7</v>
          </cell>
        </row>
        <row r="107">
          <cell r="D107">
            <v>4062</v>
          </cell>
          <cell r="E107">
            <v>935.5</v>
          </cell>
          <cell r="F107">
            <v>402.3</v>
          </cell>
          <cell r="G107">
            <v>278.9</v>
          </cell>
          <cell r="H107">
            <v>103</v>
          </cell>
          <cell r="I107">
            <v>126.1</v>
          </cell>
          <cell r="J107">
            <v>411.9</v>
          </cell>
          <cell r="K107">
            <v>102.8</v>
          </cell>
          <cell r="L107">
            <v>132.9</v>
          </cell>
          <cell r="M107">
            <v>64.4</v>
          </cell>
          <cell r="N107">
            <v>232.7</v>
          </cell>
          <cell r="O107">
            <v>154.7</v>
          </cell>
          <cell r="P107">
            <v>164.2</v>
          </cell>
          <cell r="Q107">
            <v>335.6</v>
          </cell>
          <cell r="R107">
            <v>101</v>
          </cell>
          <cell r="S107">
            <v>525.7</v>
          </cell>
          <cell r="T107">
            <v>1416.1</v>
          </cell>
          <cell r="U107">
            <v>0</v>
          </cell>
          <cell r="W107">
            <v>492.5</v>
          </cell>
          <cell r="X107">
            <v>0</v>
          </cell>
          <cell r="Y107">
            <v>5642.9</v>
          </cell>
          <cell r="Z107">
            <v>31.8</v>
          </cell>
          <cell r="AA107">
            <v>3705.5</v>
          </cell>
          <cell r="AB107">
            <v>19422.5</v>
          </cell>
        </row>
        <row r="108">
          <cell r="D108">
            <v>-3912</v>
          </cell>
          <cell r="E108">
            <v>428.7</v>
          </cell>
          <cell r="F108">
            <v>167.3</v>
          </cell>
          <cell r="G108">
            <v>116</v>
          </cell>
          <cell r="H108">
            <v>-70</v>
          </cell>
          <cell r="I108">
            <v>184</v>
          </cell>
          <cell r="J108">
            <v>-353.3</v>
          </cell>
          <cell r="K108">
            <v>57.8</v>
          </cell>
          <cell r="L108">
            <v>-16.4</v>
          </cell>
          <cell r="M108">
            <v>13.8</v>
          </cell>
          <cell r="N108">
            <v>-61.6</v>
          </cell>
          <cell r="O108">
            <v>-93.6</v>
          </cell>
          <cell r="P108">
            <v>-53.5</v>
          </cell>
          <cell r="Q108">
            <v>-263.5</v>
          </cell>
          <cell r="R108">
            <v>1788.1</v>
          </cell>
          <cell r="S108">
            <v>4313.6</v>
          </cell>
          <cell r="T108">
            <v>-960.2</v>
          </cell>
          <cell r="U108">
            <v>79</v>
          </cell>
          <cell r="W108">
            <v>-160</v>
          </cell>
          <cell r="X108">
            <v>0</v>
          </cell>
          <cell r="Y108">
            <v>-5615.4</v>
          </cell>
          <cell r="Z108">
            <v>-8.6</v>
          </cell>
          <cell r="AA108">
            <v>-1021</v>
          </cell>
          <cell r="AB108">
            <v>-5440.8</v>
          </cell>
        </row>
        <row r="109">
          <cell r="D109">
            <v>35500.9</v>
          </cell>
          <cell r="E109">
            <v>21286.5</v>
          </cell>
          <cell r="F109">
            <v>10937.2</v>
          </cell>
          <cell r="G109">
            <v>7602.3</v>
          </cell>
          <cell r="H109">
            <v>7273.4</v>
          </cell>
          <cell r="I109">
            <v>22266.2</v>
          </cell>
          <cell r="J109">
            <v>23821.3</v>
          </cell>
          <cell r="K109">
            <v>28789.4</v>
          </cell>
          <cell r="L109">
            <v>21570.4</v>
          </cell>
          <cell r="M109">
            <v>18614.7</v>
          </cell>
          <cell r="N109">
            <v>51131.4</v>
          </cell>
          <cell r="O109">
            <v>47439.3</v>
          </cell>
          <cell r="P109">
            <v>15635.6</v>
          </cell>
          <cell r="Q109">
            <v>20489</v>
          </cell>
          <cell r="R109">
            <v>63687.6</v>
          </cell>
          <cell r="S109">
            <v>98750.6</v>
          </cell>
          <cell r="T109">
            <v>43516.30000000006</v>
          </cell>
          <cell r="U109">
            <v>55211.19999999986</v>
          </cell>
          <cell r="W109">
            <v>98853.5</v>
          </cell>
          <cell r="X109">
            <v>39877</v>
          </cell>
          <cell r="Y109">
            <v>25732.3</v>
          </cell>
          <cell r="Z109">
            <v>41552.4</v>
          </cell>
          <cell r="AA109">
            <v>22319.6</v>
          </cell>
          <cell r="AB109">
            <v>763534.1</v>
          </cell>
        </row>
        <row r="110">
          <cell r="D110">
            <v>80323.6</v>
          </cell>
          <cell r="E110">
            <v>79591.4</v>
          </cell>
          <cell r="F110">
            <v>38699.9</v>
          </cell>
          <cell r="G110">
            <v>24772.1</v>
          </cell>
          <cell r="H110">
            <v>21115.1</v>
          </cell>
          <cell r="I110">
            <v>67473</v>
          </cell>
          <cell r="J110">
            <v>63555</v>
          </cell>
          <cell r="K110">
            <v>55963.6</v>
          </cell>
          <cell r="L110">
            <v>112970.2</v>
          </cell>
          <cell r="M110">
            <v>41725.8</v>
          </cell>
          <cell r="N110">
            <v>147311.3</v>
          </cell>
          <cell r="O110">
            <v>195324.8</v>
          </cell>
          <cell r="P110">
            <v>47196.5</v>
          </cell>
          <cell r="Q110">
            <v>23878.2</v>
          </cell>
          <cell r="R110">
            <v>138518.7</v>
          </cell>
          <cell r="S110">
            <v>170027.8</v>
          </cell>
          <cell r="T110">
            <v>76770.90000000007</v>
          </cell>
          <cell r="U110">
            <v>75406.69999999987</v>
          </cell>
          <cell r="W110">
            <v>125828.8</v>
          </cell>
          <cell r="X110">
            <v>58567.7</v>
          </cell>
          <cell r="Y110">
            <v>31126.7</v>
          </cell>
          <cell r="Z110">
            <v>56854.7</v>
          </cell>
          <cell r="AA110">
            <v>38801.89999999995</v>
          </cell>
          <cell r="AB110">
            <v>1771804.4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.B.K."/>
      <sheetName val="minina86"/>
      <sheetName val="valores86"/>
      <sheetName val="consprivpub.90-86"/>
      <sheetName val="coefic verticales"/>
      <sheetName val="coefic horizontales"/>
      <sheetName val="Hoja11"/>
      <sheetName val="Hoja12"/>
      <sheetName val="Hoja13"/>
      <sheetName val="Hoja14"/>
      <sheetName val="Hoja15"/>
      <sheetName val="Hoja16"/>
    </sheetNames>
    <sheetDataSet>
      <sheetData sheetId="2">
        <row r="7">
          <cell r="C7">
            <v>13439.9</v>
          </cell>
          <cell r="D7">
            <v>18364.4</v>
          </cell>
          <cell r="E7">
            <v>12633.3</v>
          </cell>
          <cell r="F7">
            <v>2179.2</v>
          </cell>
          <cell r="G7">
            <v>0</v>
          </cell>
          <cell r="H7">
            <v>2308.8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406.5</v>
          </cell>
          <cell r="N7">
            <v>0</v>
          </cell>
          <cell r="O7">
            <v>1795.3</v>
          </cell>
          <cell r="P7">
            <v>0</v>
          </cell>
          <cell r="Q7">
            <v>15.4</v>
          </cell>
          <cell r="R7">
            <v>2040.2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46.2</v>
          </cell>
          <cell r="X7">
            <v>9.9</v>
          </cell>
          <cell r="Y7">
            <v>191.7</v>
          </cell>
          <cell r="Z7">
            <v>86.8</v>
          </cell>
          <cell r="AA7">
            <v>53517.6</v>
          </cell>
          <cell r="AB7">
            <v>13316.2</v>
          </cell>
          <cell r="AC7">
            <v>0</v>
          </cell>
          <cell r="AD7">
            <v>335.3</v>
          </cell>
          <cell r="AE7">
            <v>1098.6</v>
          </cell>
          <cell r="AF7">
            <v>1433.9</v>
          </cell>
          <cell r="AG7">
            <v>38383.3</v>
          </cell>
          <cell r="AH7">
            <v>32678</v>
          </cell>
          <cell r="AI7">
            <v>5417.3</v>
          </cell>
          <cell r="AJ7">
            <v>288</v>
          </cell>
          <cell r="AK7">
            <v>53133.4</v>
          </cell>
          <cell r="AL7">
            <v>106651</v>
          </cell>
        </row>
        <row r="11">
          <cell r="C11">
            <v>13519.7</v>
          </cell>
          <cell r="D11">
            <v>9918.3</v>
          </cell>
          <cell r="E11">
            <v>0</v>
          </cell>
          <cell r="F11">
            <v>687</v>
          </cell>
          <cell r="G11">
            <v>728.1</v>
          </cell>
          <cell r="H11">
            <v>168.7</v>
          </cell>
          <cell r="I11">
            <v>17.1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3512.3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81.2</v>
          </cell>
          <cell r="X11">
            <v>142.9</v>
          </cell>
          <cell r="Y11">
            <v>237</v>
          </cell>
          <cell r="Z11">
            <v>96.4</v>
          </cell>
          <cell r="AA11">
            <v>29108.7</v>
          </cell>
          <cell r="AB11">
            <v>35143.1</v>
          </cell>
          <cell r="AC11">
            <v>0</v>
          </cell>
          <cell r="AD11">
            <v>0</v>
          </cell>
          <cell r="AE11">
            <v>541.4</v>
          </cell>
          <cell r="AF11">
            <v>541.4</v>
          </cell>
          <cell r="AG11">
            <v>30735.1</v>
          </cell>
          <cell r="AH11">
            <v>27014.6</v>
          </cell>
          <cell r="AI11">
            <v>3431.2</v>
          </cell>
          <cell r="AJ11">
            <v>289.3</v>
          </cell>
          <cell r="AK11">
            <v>66419.6</v>
          </cell>
          <cell r="AL11">
            <v>95528.3</v>
          </cell>
        </row>
        <row r="15">
          <cell r="C15">
            <v>0</v>
          </cell>
          <cell r="D15">
            <v>0</v>
          </cell>
          <cell r="E15">
            <v>1484.2</v>
          </cell>
          <cell r="F15">
            <v>10.9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262.3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4.5</v>
          </cell>
          <cell r="X15">
            <v>9.4</v>
          </cell>
          <cell r="Y15">
            <v>15.7</v>
          </cell>
          <cell r="Z15">
            <v>4.9</v>
          </cell>
          <cell r="AA15">
            <v>1791.9</v>
          </cell>
          <cell r="AB15">
            <v>1879.3</v>
          </cell>
          <cell r="AC15">
            <v>0</v>
          </cell>
          <cell r="AD15">
            <v>0</v>
          </cell>
          <cell r="AE15">
            <v>754.3</v>
          </cell>
          <cell r="AF15">
            <v>754.3</v>
          </cell>
          <cell r="AG15">
            <v>23927.5</v>
          </cell>
          <cell r="AH15">
            <v>20761.1</v>
          </cell>
          <cell r="AI15">
            <v>3031.2</v>
          </cell>
          <cell r="AJ15">
            <v>135.2</v>
          </cell>
          <cell r="AK15">
            <v>26561.1</v>
          </cell>
          <cell r="AL15">
            <v>28353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2879.9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3504</v>
          </cell>
          <cell r="S19">
            <v>0</v>
          </cell>
          <cell r="T19">
            <v>0</v>
          </cell>
          <cell r="U19">
            <v>0</v>
          </cell>
          <cell r="V19">
            <v>0.7</v>
          </cell>
          <cell r="W19">
            <v>4.6</v>
          </cell>
          <cell r="X19">
            <v>5.8</v>
          </cell>
          <cell r="Y19">
            <v>20.1</v>
          </cell>
          <cell r="Z19">
            <v>17.1</v>
          </cell>
          <cell r="AA19">
            <v>6432.2</v>
          </cell>
          <cell r="AB19">
            <v>8250.7</v>
          </cell>
          <cell r="AC19">
            <v>0</v>
          </cell>
          <cell r="AD19">
            <v>0</v>
          </cell>
          <cell r="AE19">
            <v>405.9</v>
          </cell>
          <cell r="AF19">
            <v>405.9</v>
          </cell>
          <cell r="AG19">
            <v>15245.5</v>
          </cell>
          <cell r="AH19">
            <v>8010.8</v>
          </cell>
          <cell r="AI19">
            <v>5911.5</v>
          </cell>
          <cell r="AJ19">
            <v>1323.2</v>
          </cell>
          <cell r="AK19">
            <v>23902.1</v>
          </cell>
          <cell r="AL19">
            <v>30334.3</v>
          </cell>
        </row>
        <row r="23">
          <cell r="C23">
            <v>59.7</v>
          </cell>
          <cell r="D23">
            <v>35.9</v>
          </cell>
          <cell r="E23">
            <v>0.8</v>
          </cell>
          <cell r="F23">
            <v>4.2</v>
          </cell>
          <cell r="G23">
            <v>3806.8</v>
          </cell>
          <cell r="H23">
            <v>5.7</v>
          </cell>
          <cell r="I23">
            <v>442.6</v>
          </cell>
          <cell r="J23">
            <v>4.4</v>
          </cell>
          <cell r="K23">
            <v>0</v>
          </cell>
          <cell r="L23">
            <v>9.9</v>
          </cell>
          <cell r="M23">
            <v>130</v>
          </cell>
          <cell r="N23">
            <v>201.9</v>
          </cell>
          <cell r="O23">
            <v>1515.5</v>
          </cell>
          <cell r="P23">
            <v>3.8</v>
          </cell>
          <cell r="Q23">
            <v>59.7</v>
          </cell>
          <cell r="R23">
            <v>187.8</v>
          </cell>
          <cell r="S23">
            <v>36.1</v>
          </cell>
          <cell r="T23">
            <v>8.3</v>
          </cell>
          <cell r="U23">
            <v>0</v>
          </cell>
          <cell r="V23">
            <v>11.5</v>
          </cell>
          <cell r="W23">
            <v>115.9</v>
          </cell>
          <cell r="X23">
            <v>2.9</v>
          </cell>
          <cell r="Y23">
            <v>107.7</v>
          </cell>
          <cell r="Z23">
            <v>40</v>
          </cell>
          <cell r="AA23">
            <v>6791.1</v>
          </cell>
          <cell r="AB23">
            <v>16479.3</v>
          </cell>
          <cell r="AC23">
            <v>0</v>
          </cell>
          <cell r="AD23">
            <v>0</v>
          </cell>
          <cell r="AE23">
            <v>85.3</v>
          </cell>
          <cell r="AF23">
            <v>85.3</v>
          </cell>
          <cell r="AG23">
            <v>14559.9</v>
          </cell>
          <cell r="AH23">
            <v>12428.3</v>
          </cell>
          <cell r="AI23">
            <v>1994.8</v>
          </cell>
          <cell r="AJ23">
            <v>136.8</v>
          </cell>
          <cell r="AK23">
            <v>31124.5</v>
          </cell>
          <cell r="AL23">
            <v>37915.6</v>
          </cell>
        </row>
        <row r="27">
          <cell r="C27">
            <v>6.2</v>
          </cell>
          <cell r="D27">
            <v>687.8</v>
          </cell>
          <cell r="E27">
            <v>180.8</v>
          </cell>
          <cell r="F27">
            <v>81.3</v>
          </cell>
          <cell r="G27">
            <v>84.7</v>
          </cell>
          <cell r="H27">
            <v>16348.5</v>
          </cell>
          <cell r="I27">
            <v>936.4</v>
          </cell>
          <cell r="J27">
            <v>109.7</v>
          </cell>
          <cell r="K27">
            <v>398.6</v>
          </cell>
          <cell r="L27">
            <v>212.7</v>
          </cell>
          <cell r="M27">
            <v>524.9</v>
          </cell>
          <cell r="N27">
            <v>294.3</v>
          </cell>
          <cell r="O27">
            <v>537.2</v>
          </cell>
          <cell r="P27">
            <v>23</v>
          </cell>
          <cell r="Q27">
            <v>116.4</v>
          </cell>
          <cell r="R27">
            <v>481.1</v>
          </cell>
          <cell r="S27">
            <v>138.2</v>
          </cell>
          <cell r="T27">
            <v>404.1</v>
          </cell>
          <cell r="U27">
            <v>0</v>
          </cell>
          <cell r="V27">
            <v>906.2</v>
          </cell>
          <cell r="W27">
            <v>338.5</v>
          </cell>
          <cell r="X27">
            <v>308.1</v>
          </cell>
          <cell r="Y27">
            <v>111.7</v>
          </cell>
          <cell r="Z27">
            <v>227.4</v>
          </cell>
          <cell r="AA27">
            <v>23457.8</v>
          </cell>
          <cell r="AB27">
            <v>3260.8</v>
          </cell>
          <cell r="AC27">
            <v>0</v>
          </cell>
          <cell r="AD27">
            <v>30.9</v>
          </cell>
          <cell r="AE27">
            <v>398.1</v>
          </cell>
          <cell r="AF27">
            <v>429</v>
          </cell>
          <cell r="AG27">
            <v>37940.1</v>
          </cell>
          <cell r="AH27">
            <v>23289.1</v>
          </cell>
          <cell r="AI27">
            <v>11460.3</v>
          </cell>
          <cell r="AJ27">
            <v>3190.7</v>
          </cell>
          <cell r="AK27">
            <v>41629.9</v>
          </cell>
          <cell r="AL27">
            <v>65087.7</v>
          </cell>
        </row>
        <row r="31">
          <cell r="C31">
            <v>6399.7</v>
          </cell>
          <cell r="D31">
            <v>721.3</v>
          </cell>
          <cell r="E31">
            <v>40.7</v>
          </cell>
          <cell r="F31">
            <v>607.7</v>
          </cell>
          <cell r="G31">
            <v>1739.8</v>
          </cell>
          <cell r="H31">
            <v>2457.4</v>
          </cell>
          <cell r="I31">
            <v>15139.5</v>
          </cell>
          <cell r="J31">
            <v>874.2</v>
          </cell>
          <cell r="K31">
            <v>55.9</v>
          </cell>
          <cell r="L31">
            <v>640.4</v>
          </cell>
          <cell r="M31">
            <v>6797.3</v>
          </cell>
          <cell r="N31">
            <v>2264.8</v>
          </cell>
          <cell r="O31">
            <v>1716.5</v>
          </cell>
          <cell r="P31">
            <v>99.4</v>
          </cell>
          <cell r="Q31">
            <v>1345.7</v>
          </cell>
          <cell r="R31">
            <v>1110.9</v>
          </cell>
          <cell r="S31">
            <v>604.4</v>
          </cell>
          <cell r="T31">
            <v>21.4</v>
          </cell>
          <cell r="U31">
            <v>0</v>
          </cell>
          <cell r="V31">
            <v>214.8</v>
          </cell>
          <cell r="W31">
            <v>152.6</v>
          </cell>
          <cell r="X31">
            <v>22</v>
          </cell>
          <cell r="Y31">
            <v>2973.4</v>
          </cell>
          <cell r="Z31">
            <v>172.8</v>
          </cell>
          <cell r="AA31">
            <v>46172.6</v>
          </cell>
          <cell r="AB31">
            <v>10509.7</v>
          </cell>
          <cell r="AC31">
            <v>0</v>
          </cell>
          <cell r="AD31">
            <v>0</v>
          </cell>
          <cell r="AE31">
            <v>640.9</v>
          </cell>
          <cell r="AF31">
            <v>640.9</v>
          </cell>
          <cell r="AG31">
            <v>38809.7</v>
          </cell>
          <cell r="AH31">
            <v>30218.1</v>
          </cell>
          <cell r="AI31">
            <v>7061.5</v>
          </cell>
          <cell r="AJ31">
            <v>1530.1</v>
          </cell>
          <cell r="AK31">
            <v>49960.3</v>
          </cell>
          <cell r="AL31">
            <v>96132.9</v>
          </cell>
        </row>
        <row r="35">
          <cell r="C35">
            <v>11.9</v>
          </cell>
          <cell r="D35">
            <v>772.4</v>
          </cell>
          <cell r="E35">
            <v>205.7</v>
          </cell>
          <cell r="F35">
            <v>547.2</v>
          </cell>
          <cell r="G35">
            <v>0</v>
          </cell>
          <cell r="H35">
            <v>0</v>
          </cell>
          <cell r="I35">
            <v>538</v>
          </cell>
          <cell r="J35">
            <v>6806.4</v>
          </cell>
          <cell r="K35">
            <v>222.9</v>
          </cell>
          <cell r="L35">
            <v>48.9</v>
          </cell>
          <cell r="M35">
            <v>358.2</v>
          </cell>
          <cell r="N35">
            <v>1284.8</v>
          </cell>
          <cell r="O35">
            <v>89</v>
          </cell>
          <cell r="P35">
            <v>194.1</v>
          </cell>
          <cell r="Q35">
            <v>13752.1</v>
          </cell>
          <cell r="R35">
            <v>153</v>
          </cell>
          <cell r="S35">
            <v>13.2</v>
          </cell>
          <cell r="T35">
            <v>0.4</v>
          </cell>
          <cell r="U35">
            <v>0</v>
          </cell>
          <cell r="V35">
            <v>16.4</v>
          </cell>
          <cell r="W35">
            <v>20.7</v>
          </cell>
          <cell r="X35">
            <v>0.6</v>
          </cell>
          <cell r="Y35">
            <v>48.5</v>
          </cell>
          <cell r="Z35">
            <v>4</v>
          </cell>
          <cell r="AA35">
            <v>25088.4</v>
          </cell>
          <cell r="AB35">
            <v>532.4</v>
          </cell>
          <cell r="AC35">
            <v>0</v>
          </cell>
          <cell r="AD35">
            <v>0</v>
          </cell>
          <cell r="AE35">
            <v>15.4</v>
          </cell>
          <cell r="AF35">
            <v>15.4</v>
          </cell>
          <cell r="AG35">
            <v>21598.5</v>
          </cell>
          <cell r="AH35">
            <v>18298.7</v>
          </cell>
          <cell r="AI35">
            <v>3007.5</v>
          </cell>
          <cell r="AJ35">
            <v>292.3</v>
          </cell>
          <cell r="AK35">
            <v>22146.3</v>
          </cell>
          <cell r="AL35">
            <v>47234.7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15.5</v>
          </cell>
          <cell r="I39">
            <v>234.5</v>
          </cell>
          <cell r="J39">
            <v>876.4</v>
          </cell>
          <cell r="K39">
            <v>42792.3</v>
          </cell>
          <cell r="L39">
            <v>9215.9</v>
          </cell>
          <cell r="M39">
            <v>15960.6</v>
          </cell>
          <cell r="N39">
            <v>5598.9</v>
          </cell>
          <cell r="O39">
            <v>1491.4</v>
          </cell>
          <cell r="P39">
            <v>11</v>
          </cell>
          <cell r="Q39">
            <v>4550.2</v>
          </cell>
          <cell r="R39">
            <v>0</v>
          </cell>
          <cell r="S39">
            <v>20.6</v>
          </cell>
          <cell r="T39">
            <v>0</v>
          </cell>
          <cell r="U39">
            <v>0</v>
          </cell>
          <cell r="V39">
            <v>0</v>
          </cell>
          <cell r="W39">
            <v>14.4</v>
          </cell>
          <cell r="X39">
            <v>0</v>
          </cell>
          <cell r="Y39">
            <v>0</v>
          </cell>
          <cell r="Z39">
            <v>0</v>
          </cell>
          <cell r="AA39">
            <v>80781.7</v>
          </cell>
          <cell r="AB39">
            <v>0</v>
          </cell>
          <cell r="AC39">
            <v>0</v>
          </cell>
          <cell r="AD39">
            <v>0</v>
          </cell>
          <cell r="AE39">
            <v>9978.2</v>
          </cell>
          <cell r="AF39">
            <v>9978.2</v>
          </cell>
          <cell r="AG39">
            <v>52611.8</v>
          </cell>
          <cell r="AH39">
            <v>44626</v>
          </cell>
          <cell r="AI39">
            <v>6387.2</v>
          </cell>
          <cell r="AJ39">
            <v>1598.6</v>
          </cell>
          <cell r="AK39">
            <v>62590</v>
          </cell>
          <cell r="AL39">
            <v>143371.7</v>
          </cell>
        </row>
        <row r="43">
          <cell r="C43">
            <v>11.9</v>
          </cell>
          <cell r="D43">
            <v>196</v>
          </cell>
          <cell r="E43">
            <v>244.1</v>
          </cell>
          <cell r="F43">
            <v>413.3</v>
          </cell>
          <cell r="G43">
            <v>20.8</v>
          </cell>
          <cell r="H43">
            <v>32.3</v>
          </cell>
          <cell r="I43">
            <v>72</v>
          </cell>
          <cell r="J43">
            <v>23.5</v>
          </cell>
          <cell r="K43">
            <v>83.7</v>
          </cell>
          <cell r="L43">
            <v>1291.8</v>
          </cell>
          <cell r="M43">
            <v>2009.2</v>
          </cell>
          <cell r="N43">
            <v>1808</v>
          </cell>
          <cell r="O43">
            <v>471.5</v>
          </cell>
          <cell r="P43">
            <v>85.6</v>
          </cell>
          <cell r="Q43">
            <v>4464</v>
          </cell>
          <cell r="R43">
            <v>27.2</v>
          </cell>
          <cell r="S43">
            <v>17.1</v>
          </cell>
          <cell r="T43">
            <v>0</v>
          </cell>
          <cell r="U43">
            <v>0</v>
          </cell>
          <cell r="V43">
            <v>6.2</v>
          </cell>
          <cell r="W43">
            <v>58.2</v>
          </cell>
          <cell r="X43">
            <v>4.3</v>
          </cell>
          <cell r="Y43">
            <v>51.7</v>
          </cell>
          <cell r="Z43">
            <v>3.4</v>
          </cell>
          <cell r="AA43">
            <v>11395.8</v>
          </cell>
          <cell r="AB43">
            <v>1176.5</v>
          </cell>
          <cell r="AC43">
            <v>0</v>
          </cell>
          <cell r="AD43">
            <v>6841.3</v>
          </cell>
          <cell r="AE43">
            <v>940.3</v>
          </cell>
          <cell r="AF43">
            <v>7781.6</v>
          </cell>
          <cell r="AG43">
            <v>21269.1</v>
          </cell>
          <cell r="AH43">
            <v>17683.6</v>
          </cell>
          <cell r="AI43">
            <v>2267.4</v>
          </cell>
          <cell r="AJ43">
            <v>1318.1</v>
          </cell>
          <cell r="AK43">
            <v>30227.2</v>
          </cell>
          <cell r="AL43">
            <v>41623</v>
          </cell>
        </row>
        <row r="47">
          <cell r="C47">
            <v>3038.7</v>
          </cell>
          <cell r="D47">
            <v>674.8</v>
          </cell>
          <cell r="E47">
            <v>240.3</v>
          </cell>
          <cell r="F47">
            <v>199.1</v>
          </cell>
          <cell r="G47">
            <v>134.4</v>
          </cell>
          <cell r="H47">
            <v>741.4</v>
          </cell>
          <cell r="I47">
            <v>736.7</v>
          </cell>
          <cell r="J47">
            <v>1692.3</v>
          </cell>
          <cell r="K47">
            <v>3254</v>
          </cell>
          <cell r="L47">
            <v>577.3</v>
          </cell>
          <cell r="M47">
            <v>26133.8</v>
          </cell>
          <cell r="N47">
            <v>7967.7</v>
          </cell>
          <cell r="O47">
            <v>291.3</v>
          </cell>
          <cell r="P47">
            <v>318.1</v>
          </cell>
          <cell r="Q47">
            <v>10715.9</v>
          </cell>
          <cell r="R47">
            <v>1564.5</v>
          </cell>
          <cell r="S47">
            <v>275.6</v>
          </cell>
          <cell r="T47">
            <v>232.2</v>
          </cell>
          <cell r="U47">
            <v>0</v>
          </cell>
          <cell r="V47">
            <v>873</v>
          </cell>
          <cell r="W47">
            <v>16.1</v>
          </cell>
          <cell r="X47">
            <v>30.7</v>
          </cell>
          <cell r="Y47">
            <v>538.1</v>
          </cell>
          <cell r="Z47">
            <v>610.4</v>
          </cell>
          <cell r="AA47">
            <v>60856.4</v>
          </cell>
          <cell r="AB47">
            <v>5973</v>
          </cell>
          <cell r="AC47">
            <v>0</v>
          </cell>
          <cell r="AD47">
            <v>36753.4</v>
          </cell>
          <cell r="AE47">
            <v>1537.4</v>
          </cell>
          <cell r="AF47">
            <v>38290.8</v>
          </cell>
          <cell r="AG47">
            <v>79317.5</v>
          </cell>
          <cell r="AH47">
            <v>37441.4</v>
          </cell>
          <cell r="AI47">
            <v>34535.8</v>
          </cell>
          <cell r="AJ47">
            <v>7340.3</v>
          </cell>
          <cell r="AK47">
            <v>123581.3</v>
          </cell>
          <cell r="AL47">
            <v>184437.7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63034.9</v>
          </cell>
          <cell r="O51">
            <v>0</v>
          </cell>
          <cell r="P51">
            <v>0</v>
          </cell>
          <cell r="Q51">
            <v>0</v>
          </cell>
          <cell r="R51">
            <v>1011.2</v>
          </cell>
          <cell r="S51">
            <v>437</v>
          </cell>
          <cell r="T51">
            <v>0</v>
          </cell>
          <cell r="U51">
            <v>0</v>
          </cell>
          <cell r="V51">
            <v>20</v>
          </cell>
          <cell r="W51">
            <v>20.5</v>
          </cell>
          <cell r="X51">
            <v>1.3</v>
          </cell>
          <cell r="Y51">
            <v>0</v>
          </cell>
          <cell r="Z51">
            <v>4.4</v>
          </cell>
          <cell r="AA51">
            <v>64529.3</v>
          </cell>
          <cell r="AB51">
            <v>15504</v>
          </cell>
          <cell r="AC51">
            <v>0</v>
          </cell>
          <cell r="AD51">
            <v>7789</v>
          </cell>
          <cell r="AE51">
            <v>938</v>
          </cell>
          <cell r="AF51">
            <v>8727</v>
          </cell>
          <cell r="AG51">
            <v>101319.3</v>
          </cell>
          <cell r="AH51">
            <v>9904.2</v>
          </cell>
          <cell r="AI51">
            <v>81378.5</v>
          </cell>
          <cell r="AJ51">
            <v>10036.6</v>
          </cell>
          <cell r="AK51">
            <v>125550.3</v>
          </cell>
          <cell r="AL51">
            <v>190079.6</v>
          </cell>
        </row>
        <row r="55">
          <cell r="C55">
            <v>10.3</v>
          </cell>
          <cell r="D55">
            <v>190.6</v>
          </cell>
          <cell r="E55">
            <v>13.8</v>
          </cell>
          <cell r="F55">
            <v>92.9</v>
          </cell>
          <cell r="G55">
            <v>20.3</v>
          </cell>
          <cell r="H55">
            <v>170.6</v>
          </cell>
          <cell r="I55">
            <v>0</v>
          </cell>
          <cell r="J55">
            <v>21.9</v>
          </cell>
          <cell r="K55">
            <v>1705.5</v>
          </cell>
          <cell r="L55">
            <v>40.8</v>
          </cell>
          <cell r="M55">
            <v>258.3</v>
          </cell>
          <cell r="N55">
            <v>2579.7</v>
          </cell>
          <cell r="O55">
            <v>7880.7</v>
          </cell>
          <cell r="P55">
            <v>5.3</v>
          </cell>
          <cell r="Q55">
            <v>1291</v>
          </cell>
          <cell r="R55">
            <v>64.8</v>
          </cell>
          <cell r="S55">
            <v>25.3</v>
          </cell>
          <cell r="T55">
            <v>28.1</v>
          </cell>
          <cell r="U55">
            <v>0</v>
          </cell>
          <cell r="V55">
            <v>33.1</v>
          </cell>
          <cell r="W55">
            <v>92.2</v>
          </cell>
          <cell r="X55">
            <v>1.5</v>
          </cell>
          <cell r="Y55">
            <v>89.7</v>
          </cell>
          <cell r="Z55">
            <v>79.2</v>
          </cell>
          <cell r="AA55">
            <v>14695.6</v>
          </cell>
          <cell r="AB55">
            <v>8651.3</v>
          </cell>
          <cell r="AC55">
            <v>0</v>
          </cell>
          <cell r="AD55">
            <v>3503.1</v>
          </cell>
          <cell r="AE55">
            <v>390.2</v>
          </cell>
          <cell r="AF55">
            <v>3893.3</v>
          </cell>
          <cell r="AG55">
            <v>20384.9</v>
          </cell>
          <cell r="AH55">
            <v>14984.2</v>
          </cell>
          <cell r="AI55">
            <v>4331.1</v>
          </cell>
          <cell r="AJ55">
            <v>1069.6</v>
          </cell>
          <cell r="AK55">
            <v>32929.5</v>
          </cell>
          <cell r="AL55">
            <v>47625.1</v>
          </cell>
        </row>
        <row r="59">
          <cell r="C59">
            <v>2188.4</v>
          </cell>
          <cell r="D59">
            <v>1283.4</v>
          </cell>
          <cell r="E59">
            <v>292.4</v>
          </cell>
          <cell r="F59">
            <v>225.47</v>
          </cell>
          <cell r="G59">
            <v>415.9</v>
          </cell>
          <cell r="H59">
            <v>1437.3</v>
          </cell>
          <cell r="I59">
            <v>4002.6</v>
          </cell>
          <cell r="J59">
            <v>3174.9</v>
          </cell>
          <cell r="K59">
            <v>2141.1</v>
          </cell>
          <cell r="L59">
            <v>462.3</v>
          </cell>
          <cell r="M59">
            <v>848.8</v>
          </cell>
          <cell r="N59">
            <v>865.8</v>
          </cell>
          <cell r="O59">
            <v>414.8</v>
          </cell>
          <cell r="P59">
            <v>64.6</v>
          </cell>
          <cell r="Q59">
            <v>985.5</v>
          </cell>
          <cell r="R59">
            <v>2210.2</v>
          </cell>
          <cell r="S59">
            <v>4678.4</v>
          </cell>
          <cell r="T59">
            <v>245.3</v>
          </cell>
          <cell r="U59">
            <v>0</v>
          </cell>
          <cell r="V59">
            <v>2457.1</v>
          </cell>
          <cell r="W59">
            <v>1272.7</v>
          </cell>
          <cell r="X59">
            <v>454.9</v>
          </cell>
          <cell r="Y59">
            <v>489.9</v>
          </cell>
          <cell r="Z59">
            <v>800.7</v>
          </cell>
          <cell r="AA59">
            <v>31412.47</v>
          </cell>
          <cell r="AB59">
            <v>21118.5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21118.5</v>
          </cell>
          <cell r="AL59">
            <v>52530.97</v>
          </cell>
        </row>
        <row r="63">
          <cell r="C63">
            <v>1364.2</v>
          </cell>
          <cell r="D63">
            <v>238</v>
          </cell>
          <cell r="E63">
            <v>59.6</v>
          </cell>
          <cell r="F63">
            <v>41.4</v>
          </cell>
          <cell r="G63">
            <v>15.4</v>
          </cell>
          <cell r="H63">
            <v>57.1</v>
          </cell>
          <cell r="I63">
            <v>140.6</v>
          </cell>
          <cell r="J63">
            <v>283.4</v>
          </cell>
          <cell r="K63">
            <v>256.9</v>
          </cell>
          <cell r="L63">
            <v>49.4</v>
          </cell>
          <cell r="M63">
            <v>75.9</v>
          </cell>
          <cell r="N63">
            <v>270.7</v>
          </cell>
          <cell r="O63">
            <v>198.1</v>
          </cell>
          <cell r="P63">
            <v>715</v>
          </cell>
          <cell r="Q63">
            <v>11.4</v>
          </cell>
          <cell r="R63">
            <v>2084.1</v>
          </cell>
          <cell r="S63">
            <v>840.4</v>
          </cell>
          <cell r="T63">
            <v>871.4</v>
          </cell>
          <cell r="U63">
            <v>0</v>
          </cell>
          <cell r="V63">
            <v>5552.6</v>
          </cell>
          <cell r="W63">
            <v>751.6</v>
          </cell>
          <cell r="X63">
            <v>306.3</v>
          </cell>
          <cell r="Y63">
            <v>194.7</v>
          </cell>
          <cell r="Z63">
            <v>548.4</v>
          </cell>
          <cell r="AA63">
            <v>14926.6</v>
          </cell>
          <cell r="AB63">
            <v>1965.3</v>
          </cell>
          <cell r="AC63">
            <v>0</v>
          </cell>
          <cell r="AD63">
            <v>80266.8</v>
          </cell>
          <cell r="AE63">
            <v>0</v>
          </cell>
          <cell r="AF63">
            <v>80266.8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82232.1</v>
          </cell>
          <cell r="AL63">
            <v>97158.7</v>
          </cell>
        </row>
        <row r="67">
          <cell r="C67">
            <v>2949.9</v>
          </cell>
          <cell r="D67">
            <v>2546.1</v>
          </cell>
          <cell r="E67">
            <v>679.1</v>
          </cell>
          <cell r="F67">
            <v>653.9</v>
          </cell>
          <cell r="G67">
            <v>840.6</v>
          </cell>
          <cell r="H67">
            <v>2470.2</v>
          </cell>
          <cell r="I67">
            <v>2082.1</v>
          </cell>
          <cell r="J67">
            <v>895.7</v>
          </cell>
          <cell r="K67">
            <v>4107.7</v>
          </cell>
          <cell r="L67">
            <v>1127.7</v>
          </cell>
          <cell r="M67">
            <v>4270.3</v>
          </cell>
          <cell r="N67">
            <v>3653.7</v>
          </cell>
          <cell r="O67">
            <v>1553.7</v>
          </cell>
          <cell r="P67">
            <v>117.9</v>
          </cell>
          <cell r="Q67">
            <v>4893.8</v>
          </cell>
          <cell r="R67">
            <v>8477.9</v>
          </cell>
          <cell r="S67">
            <v>4636.6</v>
          </cell>
          <cell r="T67">
            <v>796.3</v>
          </cell>
          <cell r="U67">
            <v>0</v>
          </cell>
          <cell r="V67">
            <v>1366.8</v>
          </cell>
          <cell r="W67">
            <v>994.2</v>
          </cell>
          <cell r="X67">
            <v>536.5</v>
          </cell>
          <cell r="Y67">
            <v>1142.8</v>
          </cell>
          <cell r="Z67">
            <v>593.4</v>
          </cell>
          <cell r="AA67">
            <v>51386.9</v>
          </cell>
          <cell r="AB67">
            <v>99728.9</v>
          </cell>
          <cell r="AC67">
            <v>0</v>
          </cell>
          <cell r="AD67">
            <v>3687.4</v>
          </cell>
          <cell r="AE67">
            <v>0</v>
          </cell>
          <cell r="AF67">
            <v>3687.4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103416.3</v>
          </cell>
          <cell r="AL67">
            <v>154803.2</v>
          </cell>
        </row>
        <row r="71">
          <cell r="C71">
            <v>462</v>
          </cell>
          <cell r="D71">
            <v>1603.8</v>
          </cell>
          <cell r="E71">
            <v>757.3</v>
          </cell>
          <cell r="F71">
            <v>535.7</v>
          </cell>
          <cell r="G71">
            <v>435.5</v>
          </cell>
          <cell r="H71">
            <v>2388</v>
          </cell>
          <cell r="I71">
            <v>2247.5</v>
          </cell>
          <cell r="J71">
            <v>2434.5</v>
          </cell>
          <cell r="K71">
            <v>5561.7</v>
          </cell>
          <cell r="L71">
            <v>812.7</v>
          </cell>
          <cell r="M71">
            <v>2407.3</v>
          </cell>
          <cell r="N71">
            <v>2127.8</v>
          </cell>
          <cell r="O71">
            <v>951.5</v>
          </cell>
          <cell r="P71">
            <v>73.6</v>
          </cell>
          <cell r="Q71">
            <v>4732.9</v>
          </cell>
          <cell r="R71">
            <v>7561.1</v>
          </cell>
          <cell r="S71">
            <v>8481.5</v>
          </cell>
          <cell r="T71">
            <v>1280.9</v>
          </cell>
          <cell r="U71">
            <v>0</v>
          </cell>
          <cell r="V71">
            <v>976.7</v>
          </cell>
          <cell r="W71">
            <v>924.6</v>
          </cell>
          <cell r="X71">
            <v>770.3</v>
          </cell>
          <cell r="Y71">
            <v>324.6</v>
          </cell>
          <cell r="Z71">
            <v>809.7</v>
          </cell>
          <cell r="AA71">
            <v>48661.2</v>
          </cell>
          <cell r="AB71">
            <v>10852.5</v>
          </cell>
          <cell r="AC71">
            <v>0</v>
          </cell>
          <cell r="AD71">
            <v>1860.6</v>
          </cell>
          <cell r="AE71">
            <v>0</v>
          </cell>
          <cell r="AF71">
            <v>1860.6</v>
          </cell>
          <cell r="AG71">
            <v>3176</v>
          </cell>
          <cell r="AH71">
            <v>2749.3</v>
          </cell>
          <cell r="AI71">
            <v>379.2</v>
          </cell>
          <cell r="AJ71">
            <v>47.5</v>
          </cell>
          <cell r="AK71">
            <v>15889.1</v>
          </cell>
          <cell r="AL71">
            <v>64550.3</v>
          </cell>
        </row>
        <row r="75">
          <cell r="C75">
            <v>413.7</v>
          </cell>
          <cell r="D75">
            <v>129.7</v>
          </cell>
          <cell r="E75">
            <v>93.2</v>
          </cell>
          <cell r="F75">
            <v>37.5</v>
          </cell>
          <cell r="G75">
            <v>43.2</v>
          </cell>
          <cell r="H75">
            <v>110.3</v>
          </cell>
          <cell r="I75">
            <v>123.3</v>
          </cell>
          <cell r="J75">
            <v>162.8</v>
          </cell>
          <cell r="K75">
            <v>269</v>
          </cell>
          <cell r="L75">
            <v>140.9</v>
          </cell>
          <cell r="M75">
            <v>283.6</v>
          </cell>
          <cell r="N75">
            <v>123</v>
          </cell>
          <cell r="O75">
            <v>147</v>
          </cell>
          <cell r="P75">
            <v>73.1</v>
          </cell>
          <cell r="Q75">
            <v>337.7</v>
          </cell>
          <cell r="R75">
            <v>567.9</v>
          </cell>
          <cell r="S75">
            <v>365.9</v>
          </cell>
          <cell r="T75">
            <v>2745.9</v>
          </cell>
          <cell r="U75">
            <v>35442.2</v>
          </cell>
          <cell r="V75">
            <v>349.5</v>
          </cell>
          <cell r="W75">
            <v>78.6</v>
          </cell>
          <cell r="X75">
            <v>19.4</v>
          </cell>
          <cell r="Y75">
            <v>21.4</v>
          </cell>
          <cell r="Z75">
            <v>156.8</v>
          </cell>
          <cell r="AA75">
            <v>42235.6</v>
          </cell>
          <cell r="AB75">
            <v>5165.3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5165.3</v>
          </cell>
          <cell r="AL75">
            <v>47400.9</v>
          </cell>
        </row>
        <row r="79">
          <cell r="C79">
            <v>17.7</v>
          </cell>
          <cell r="D79">
            <v>1212.6</v>
          </cell>
          <cell r="E79">
            <v>1081.2</v>
          </cell>
          <cell r="F79">
            <v>920.9</v>
          </cell>
          <cell r="G79">
            <v>814.7</v>
          </cell>
          <cell r="H79">
            <v>2073.8</v>
          </cell>
          <cell r="I79">
            <v>1622.1</v>
          </cell>
          <cell r="J79">
            <v>1271</v>
          </cell>
          <cell r="K79">
            <v>1571.9</v>
          </cell>
          <cell r="L79">
            <v>889.4</v>
          </cell>
          <cell r="M79">
            <v>2777.9</v>
          </cell>
          <cell r="N79">
            <v>1151.2</v>
          </cell>
          <cell r="O79">
            <v>1041.2</v>
          </cell>
          <cell r="P79">
            <v>532.1</v>
          </cell>
          <cell r="Q79">
            <v>2530.9</v>
          </cell>
          <cell r="R79">
            <v>11536.8</v>
          </cell>
          <cell r="S79">
            <v>1971.7</v>
          </cell>
          <cell r="T79">
            <v>5949.7</v>
          </cell>
          <cell r="U79">
            <v>0</v>
          </cell>
          <cell r="V79">
            <v>3013.7</v>
          </cell>
          <cell r="W79">
            <v>5514.4</v>
          </cell>
          <cell r="X79">
            <v>685.9</v>
          </cell>
          <cell r="Y79">
            <v>990.7</v>
          </cell>
          <cell r="Z79">
            <v>2931.2</v>
          </cell>
          <cell r="AA79">
            <v>52102.7</v>
          </cell>
          <cell r="AB79">
            <v>36557.1</v>
          </cell>
          <cell r="AC79">
            <v>0</v>
          </cell>
          <cell r="AD79">
            <v>880</v>
          </cell>
          <cell r="AE79">
            <v>0</v>
          </cell>
          <cell r="AF79">
            <v>880</v>
          </cell>
          <cell r="AG79">
            <v>517.7</v>
          </cell>
          <cell r="AH79">
            <v>505.5</v>
          </cell>
          <cell r="AI79">
            <v>12.2</v>
          </cell>
          <cell r="AJ79">
            <v>0</v>
          </cell>
          <cell r="AK79">
            <v>37954.8</v>
          </cell>
          <cell r="AL79">
            <v>90057.5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32802.5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32802.5</v>
          </cell>
          <cell r="AL83">
            <v>32802.5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1.5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15.9</v>
          </cell>
          <cell r="Y87">
            <v>0</v>
          </cell>
          <cell r="Z87">
            <v>0</v>
          </cell>
          <cell r="AA87">
            <v>17.4</v>
          </cell>
          <cell r="AB87">
            <v>9311.4</v>
          </cell>
          <cell r="AC87">
            <v>11199.5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20510.9</v>
          </cell>
          <cell r="AL87">
            <v>20528.3</v>
          </cell>
        </row>
        <row r="91">
          <cell r="C91">
            <v>172.5</v>
          </cell>
          <cell r="D91">
            <v>9.9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1.5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370.3</v>
          </cell>
          <cell r="U91">
            <v>0</v>
          </cell>
          <cell r="V91">
            <v>0</v>
          </cell>
          <cell r="W91">
            <v>0</v>
          </cell>
          <cell r="X91">
            <v>54.5</v>
          </cell>
          <cell r="Y91">
            <v>1864.3</v>
          </cell>
          <cell r="Z91">
            <v>1</v>
          </cell>
          <cell r="AA91">
            <v>2474</v>
          </cell>
          <cell r="AB91">
            <v>17792.2</v>
          </cell>
          <cell r="AC91">
            <v>18852.3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36644.5</v>
          </cell>
          <cell r="AL91">
            <v>39118.5</v>
          </cell>
        </row>
        <row r="95">
          <cell r="C95">
            <v>9.1</v>
          </cell>
          <cell r="D95">
            <v>4.7</v>
          </cell>
          <cell r="E95">
            <v>0.4</v>
          </cell>
          <cell r="F95">
            <v>2.1</v>
          </cell>
          <cell r="G95">
            <v>0</v>
          </cell>
          <cell r="H95">
            <v>28.7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4.1</v>
          </cell>
          <cell r="N95">
            <v>2.9</v>
          </cell>
          <cell r="O95">
            <v>0</v>
          </cell>
          <cell r="P95">
            <v>0</v>
          </cell>
          <cell r="Q95">
            <v>93.4</v>
          </cell>
          <cell r="R95">
            <v>147.5</v>
          </cell>
          <cell r="S95">
            <v>24.7</v>
          </cell>
          <cell r="T95">
            <v>17.8</v>
          </cell>
          <cell r="U95">
            <v>0</v>
          </cell>
          <cell r="V95">
            <v>877.2</v>
          </cell>
          <cell r="W95">
            <v>1484.3</v>
          </cell>
          <cell r="X95">
            <v>17</v>
          </cell>
          <cell r="Y95">
            <v>272.2</v>
          </cell>
          <cell r="Z95">
            <v>2555.9</v>
          </cell>
          <cell r="AA95">
            <v>5542</v>
          </cell>
          <cell r="AB95">
            <v>23381.6</v>
          </cell>
          <cell r="AC95">
            <v>1561.9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24943.5</v>
          </cell>
          <cell r="AL95">
            <v>30485.5</v>
          </cell>
        </row>
        <row r="99">
          <cell r="C99">
            <v>44075.5</v>
          </cell>
          <cell r="D99">
            <v>38589.7</v>
          </cell>
          <cell r="E99">
            <v>18006.9</v>
          </cell>
          <cell r="F99">
            <v>10119.67</v>
          </cell>
          <cell r="G99">
            <v>9100.2</v>
          </cell>
          <cell r="H99">
            <v>30814.3</v>
          </cell>
          <cell r="I99">
            <v>28335</v>
          </cell>
          <cell r="J99">
            <v>18631.1</v>
          </cell>
          <cell r="K99">
            <v>62421.2</v>
          </cell>
          <cell r="L99">
            <v>15520.1</v>
          </cell>
          <cell r="M99">
            <v>63249.7</v>
          </cell>
          <cell r="N99">
            <v>93230.1</v>
          </cell>
          <cell r="O99">
            <v>20094.7</v>
          </cell>
          <cell r="P99">
            <v>2316.6</v>
          </cell>
          <cell r="Q99">
            <v>49896</v>
          </cell>
          <cell r="R99">
            <v>46504.8</v>
          </cell>
          <cell r="S99">
            <v>22566.7</v>
          </cell>
          <cell r="T99">
            <v>12972.1</v>
          </cell>
          <cell r="U99">
            <v>35442.2</v>
          </cell>
          <cell r="V99">
            <v>16675.5</v>
          </cell>
          <cell r="W99">
            <v>11986</v>
          </cell>
          <cell r="X99">
            <v>3400.1</v>
          </cell>
          <cell r="Y99">
            <v>9685.9</v>
          </cell>
          <cell r="Z99">
            <v>9743.9</v>
          </cell>
          <cell r="AA99">
            <v>673377.97</v>
          </cell>
          <cell r="AB99">
            <v>346549.1</v>
          </cell>
          <cell r="AC99">
            <v>64416.2</v>
          </cell>
          <cell r="AD99">
            <v>141947.8</v>
          </cell>
          <cell r="AE99">
            <v>17724</v>
          </cell>
          <cell r="AF99">
            <v>159671.8</v>
          </cell>
          <cell r="AG99">
            <v>499795.9</v>
          </cell>
          <cell r="AH99">
            <v>300592.9</v>
          </cell>
          <cell r="AI99">
            <v>170606.7</v>
          </cell>
          <cell r="AJ99">
            <v>28596.3</v>
          </cell>
          <cell r="AK99">
            <v>1070433</v>
          </cell>
          <cell r="AL99">
            <v>1743810.97</v>
          </cell>
        </row>
        <row r="101">
          <cell r="C101">
            <v>1497.6554616641397</v>
          </cell>
          <cell r="D101">
            <v>5402.518551914175</v>
          </cell>
          <cell r="E101">
            <v>2372.671061808156</v>
          </cell>
          <cell r="F101">
            <v>3059.6542428289254</v>
          </cell>
          <cell r="G101">
            <v>2120.920015606599</v>
          </cell>
          <cell r="H101">
            <v>7520.582830732951</v>
          </cell>
          <cell r="I101">
            <v>5950.552289852411</v>
          </cell>
          <cell r="J101">
            <v>5827.577124426766</v>
          </cell>
          <cell r="K101">
            <v>6253.081905812453</v>
          </cell>
          <cell r="L101">
            <v>5044.47202847057</v>
          </cell>
          <cell r="M101">
            <v>12143.128272472857</v>
          </cell>
          <cell r="N101">
            <v>18883.024058834584</v>
          </cell>
          <cell r="O101">
            <v>3834.094362976786</v>
          </cell>
          <cell r="P101">
            <v>1417.070139182748</v>
          </cell>
          <cell r="Q101">
            <v>14309.829318459251</v>
          </cell>
          <cell r="R101">
            <v>18551.22314079935</v>
          </cell>
          <cell r="S101">
            <v>9092.665932429738</v>
          </cell>
          <cell r="T101">
            <v>9109.71111138206</v>
          </cell>
          <cell r="V101">
            <v>7494.702716093302</v>
          </cell>
          <cell r="W101">
            <v>17239.7804114232</v>
          </cell>
          <cell r="X101">
            <v>11923.236539810454</v>
          </cell>
          <cell r="Y101">
            <v>21649.2230894468</v>
          </cell>
          <cell r="Z101">
            <v>8287.258916488916</v>
          </cell>
          <cell r="AA101">
            <v>198984.63352291723</v>
          </cell>
        </row>
        <row r="102">
          <cell r="C102">
            <v>250.14469425840687</v>
          </cell>
          <cell r="D102">
            <v>1629.6440463263527</v>
          </cell>
          <cell r="E102">
            <v>669.2240678714923</v>
          </cell>
          <cell r="F102">
            <v>779.2591759773131</v>
          </cell>
          <cell r="G102">
            <v>766.2298768828688</v>
          </cell>
          <cell r="H102">
            <v>1908.7923173360914</v>
          </cell>
          <cell r="I102">
            <v>1208.601353671639</v>
          </cell>
          <cell r="J102">
            <v>1721.4738324097996</v>
          </cell>
          <cell r="K102">
            <v>2145.2830200777175</v>
          </cell>
          <cell r="L102">
            <v>1509.69325875253</v>
          </cell>
          <cell r="M102">
            <v>3047.428119706057</v>
          </cell>
          <cell r="N102">
            <v>5694.9638473422165</v>
          </cell>
          <cell r="O102">
            <v>1156.6626408431005</v>
          </cell>
          <cell r="P102">
            <v>409.26277840494254</v>
          </cell>
          <cell r="Q102">
            <v>5501.219954643323</v>
          </cell>
          <cell r="R102">
            <v>7941.714765162285</v>
          </cell>
          <cell r="S102">
            <v>1781.5335467287105</v>
          </cell>
          <cell r="T102">
            <v>2659.6726089844096</v>
          </cell>
          <cell r="V102">
            <v>2099.412747923304</v>
          </cell>
          <cell r="W102">
            <v>3296.60952059913</v>
          </cell>
          <cell r="X102">
            <v>3316.6705537330326</v>
          </cell>
          <cell r="Y102">
            <v>4764.53828823724</v>
          </cell>
          <cell r="Z102">
            <v>2213.73146121086</v>
          </cell>
          <cell r="AA102">
            <v>56471.76647708283</v>
          </cell>
        </row>
        <row r="103">
          <cell r="C103">
            <v>1747.8001559225465</v>
          </cell>
          <cell r="D103">
            <v>7032.162598240528</v>
          </cell>
          <cell r="E103">
            <v>3041.8951296796486</v>
          </cell>
          <cell r="F103">
            <v>3838.9134188062385</v>
          </cell>
          <cell r="G103">
            <v>2887.1498924894677</v>
          </cell>
          <cell r="H103">
            <v>9429.375148069043</v>
          </cell>
          <cell r="I103">
            <v>7159.1536435240505</v>
          </cell>
          <cell r="J103">
            <v>7549.050956836566</v>
          </cell>
          <cell r="K103">
            <v>8398.364925890171</v>
          </cell>
          <cell r="L103">
            <v>6554.1652872231</v>
          </cell>
          <cell r="M103">
            <v>15190.556392178913</v>
          </cell>
          <cell r="N103">
            <v>24577.9879061768</v>
          </cell>
          <cell r="O103">
            <v>4990.757003819886</v>
          </cell>
          <cell r="P103">
            <v>1826.3329175876904</v>
          </cell>
          <cell r="Q103">
            <v>19811.049273102573</v>
          </cell>
          <cell r="R103">
            <v>26492.937905961637</v>
          </cell>
          <cell r="S103">
            <v>10874.19947915845</v>
          </cell>
          <cell r="T103">
            <v>11769.38372036647</v>
          </cell>
          <cell r="V103">
            <v>9594.115464016606</v>
          </cell>
          <cell r="W103">
            <v>20536.389932022328</v>
          </cell>
          <cell r="X103">
            <v>15239.907093543487</v>
          </cell>
          <cell r="Y103">
            <v>26413.76137768404</v>
          </cell>
          <cell r="Z103">
            <v>10500.990377699776</v>
          </cell>
          <cell r="AA103">
            <v>255456.4</v>
          </cell>
        </row>
        <row r="104">
          <cell r="C104">
            <v>31229.8998440775</v>
          </cell>
          <cell r="D104">
            <v>6730.237401759472</v>
          </cell>
          <cell r="E104">
            <v>4131.404870320351</v>
          </cell>
          <cell r="F104">
            <v>2558.3865811937612</v>
          </cell>
          <cell r="G104">
            <v>1981.3501075105323</v>
          </cell>
          <cell r="H104">
            <v>4416.924851930959</v>
          </cell>
          <cell r="I104">
            <v>9699.94635647595</v>
          </cell>
          <cell r="J104">
            <v>11464.449043163435</v>
          </cell>
          <cell r="K104">
            <v>4890.735074109829</v>
          </cell>
          <cell r="L104">
            <v>4844.334712776898</v>
          </cell>
          <cell r="M104">
            <v>17267.143607821086</v>
          </cell>
          <cell r="N104">
            <v>5873.512093823201</v>
          </cell>
          <cell r="O104">
            <v>4891.4429961801125</v>
          </cell>
          <cell r="P104">
            <v>10082.96708241231</v>
          </cell>
          <cell r="Q104">
            <v>19766.550726897425</v>
          </cell>
          <cell r="R104">
            <v>34385.662094038365</v>
          </cell>
          <cell r="S104">
            <v>17173.000520841553</v>
          </cell>
          <cell r="T104">
            <v>21700.91627963353</v>
          </cell>
          <cell r="V104">
            <v>54143.3845359834</v>
          </cell>
          <cell r="W104">
            <v>4835.510067977641</v>
          </cell>
          <cell r="X104">
            <v>4091.192906456513</v>
          </cell>
          <cell r="Y104">
            <v>1477.838622316</v>
          </cell>
          <cell r="Z104">
            <v>6403.809622300223</v>
          </cell>
          <cell r="AA104">
            <v>248598.4</v>
          </cell>
        </row>
        <row r="105">
          <cell r="C105">
            <v>32977.7</v>
          </cell>
          <cell r="D105">
            <v>13762.4</v>
          </cell>
          <cell r="E105">
            <v>7173.3</v>
          </cell>
          <cell r="F105">
            <v>6397.3</v>
          </cell>
          <cell r="G105">
            <v>4868.5</v>
          </cell>
          <cell r="H105">
            <v>13846.3</v>
          </cell>
          <cell r="I105">
            <v>16859.1</v>
          </cell>
          <cell r="J105">
            <v>19013.5</v>
          </cell>
          <cell r="K105">
            <v>13289.1</v>
          </cell>
          <cell r="L105">
            <v>11398.5</v>
          </cell>
          <cell r="M105">
            <v>32457.7</v>
          </cell>
          <cell r="N105">
            <v>30451.5</v>
          </cell>
          <cell r="O105">
            <v>9882.2</v>
          </cell>
          <cell r="P105">
            <v>11909.3</v>
          </cell>
          <cell r="Q105">
            <v>39577.6</v>
          </cell>
          <cell r="R105">
            <v>60878.6</v>
          </cell>
          <cell r="S105">
            <v>28047.2</v>
          </cell>
          <cell r="T105">
            <v>33470.3</v>
          </cell>
          <cell r="V105">
            <v>63737.5</v>
          </cell>
          <cell r="W105">
            <v>25371.9</v>
          </cell>
          <cell r="X105">
            <v>19331.1</v>
          </cell>
          <cell r="Y105">
            <v>27891.6</v>
          </cell>
          <cell r="Z105">
            <v>16904.8</v>
          </cell>
          <cell r="AA105">
            <v>504054.8</v>
          </cell>
        </row>
        <row r="106">
          <cell r="C106">
            <v>24.5</v>
          </cell>
          <cell r="D106">
            <v>1013.9</v>
          </cell>
          <cell r="E106">
            <v>632.1</v>
          </cell>
          <cell r="F106">
            <v>438.3</v>
          </cell>
          <cell r="G106">
            <v>21</v>
          </cell>
          <cell r="H106">
            <v>961</v>
          </cell>
          <cell r="I106">
            <v>248.6</v>
          </cell>
          <cell r="J106">
            <v>529.1</v>
          </cell>
          <cell r="K106">
            <v>400.3</v>
          </cell>
          <cell r="L106">
            <v>227.3</v>
          </cell>
          <cell r="M106">
            <v>450.5</v>
          </cell>
          <cell r="N106">
            <v>450.9</v>
          </cell>
          <cell r="O106">
            <v>335.3</v>
          </cell>
          <cell r="P106">
            <v>343.6</v>
          </cell>
          <cell r="Q106">
            <v>795.4</v>
          </cell>
          <cell r="R106">
            <v>6855.1</v>
          </cell>
          <cell r="S106">
            <v>730.8</v>
          </cell>
          <cell r="T106">
            <v>334.5</v>
          </cell>
          <cell r="V106">
            <v>188.3</v>
          </cell>
          <cell r="W106">
            <v>0</v>
          </cell>
          <cell r="X106">
            <v>204.9</v>
          </cell>
          <cell r="Y106">
            <v>18.6</v>
          </cell>
          <cell r="Z106">
            <v>1234.1</v>
          </cell>
          <cell r="AA106">
            <v>16438.1</v>
          </cell>
        </row>
        <row r="107">
          <cell r="C107">
            <v>1282</v>
          </cell>
          <cell r="D107">
            <v>327.5</v>
          </cell>
          <cell r="E107">
            <v>20.8</v>
          </cell>
          <cell r="F107">
            <v>14.5</v>
          </cell>
          <cell r="G107">
            <v>128.1</v>
          </cell>
          <cell r="H107">
            <v>181.8</v>
          </cell>
          <cell r="I107">
            <v>2621.1</v>
          </cell>
          <cell r="J107">
            <v>68.2</v>
          </cell>
          <cell r="K107">
            <v>122.2</v>
          </cell>
          <cell r="L107">
            <v>42.6</v>
          </cell>
          <cell r="M107">
            <v>140.4</v>
          </cell>
          <cell r="N107">
            <v>140.3</v>
          </cell>
          <cell r="O107">
            <v>92.9</v>
          </cell>
          <cell r="P107">
            <v>291.5</v>
          </cell>
          <cell r="Q107">
            <v>26.5</v>
          </cell>
          <cell r="R107">
            <v>991.4</v>
          </cell>
          <cell r="S107">
            <v>1503.1</v>
          </cell>
          <cell r="T107">
            <v>0</v>
          </cell>
          <cell r="V107">
            <v>315.6</v>
          </cell>
          <cell r="W107">
            <v>0</v>
          </cell>
          <cell r="X107">
            <v>3863.8</v>
          </cell>
          <cell r="Y107">
            <v>21.6</v>
          </cell>
          <cell r="Z107">
            <v>2374.7</v>
          </cell>
          <cell r="AA107">
            <v>14570.6</v>
          </cell>
        </row>
        <row r="108">
          <cell r="C108">
            <v>-1257.5</v>
          </cell>
          <cell r="D108">
            <v>686.4</v>
          </cell>
          <cell r="E108">
            <v>611.3</v>
          </cell>
          <cell r="F108">
            <v>423.8</v>
          </cell>
          <cell r="G108">
            <v>-107.1</v>
          </cell>
          <cell r="H108">
            <v>779.2</v>
          </cell>
          <cell r="I108">
            <v>-2372.5</v>
          </cell>
          <cell r="J108">
            <v>460.9</v>
          </cell>
          <cell r="K108">
            <v>278.1</v>
          </cell>
          <cell r="L108">
            <v>184.7</v>
          </cell>
          <cell r="M108">
            <v>310.1</v>
          </cell>
          <cell r="N108">
            <v>310.6</v>
          </cell>
          <cell r="O108">
            <v>242.4</v>
          </cell>
          <cell r="P108">
            <v>52.1</v>
          </cell>
          <cell r="Q108">
            <v>768.9</v>
          </cell>
          <cell r="R108">
            <v>5863.7</v>
          </cell>
          <cell r="S108">
            <v>-772.3</v>
          </cell>
          <cell r="T108">
            <v>334.5</v>
          </cell>
          <cell r="V108">
            <v>-127.3</v>
          </cell>
          <cell r="W108">
            <v>0</v>
          </cell>
          <cell r="X108">
            <v>-3658.9</v>
          </cell>
          <cell r="Y108">
            <v>-3</v>
          </cell>
          <cell r="Z108">
            <v>-1140.6</v>
          </cell>
          <cell r="AA108">
            <v>1867.5</v>
          </cell>
        </row>
        <row r="109">
          <cell r="C109">
            <v>31720.2</v>
          </cell>
          <cell r="D109">
            <v>14448.8</v>
          </cell>
          <cell r="E109">
            <v>7784.6</v>
          </cell>
          <cell r="F109">
            <v>6821.1</v>
          </cell>
          <cell r="G109">
            <v>4761.4</v>
          </cell>
          <cell r="H109">
            <v>14625.5</v>
          </cell>
          <cell r="I109">
            <v>14486.6</v>
          </cell>
          <cell r="J109">
            <v>19474.4</v>
          </cell>
          <cell r="K109">
            <v>13567.2</v>
          </cell>
          <cell r="L109">
            <v>11583.2</v>
          </cell>
          <cell r="M109">
            <v>32767.8</v>
          </cell>
          <cell r="N109">
            <v>30762.1</v>
          </cell>
          <cell r="O109">
            <v>10124.6</v>
          </cell>
          <cell r="P109">
            <v>11961.4</v>
          </cell>
          <cell r="Q109">
            <v>40346.5</v>
          </cell>
          <cell r="R109">
            <v>66742.3</v>
          </cell>
          <cell r="S109">
            <v>27274.9</v>
          </cell>
          <cell r="T109">
            <v>33804.8</v>
          </cell>
          <cell r="V109">
            <v>63610.2</v>
          </cell>
          <cell r="W109">
            <v>25371.9</v>
          </cell>
          <cell r="X109">
            <v>15672.2</v>
          </cell>
          <cell r="Y109">
            <v>27888.6</v>
          </cell>
          <cell r="Z109">
            <v>15764.2</v>
          </cell>
          <cell r="AA109">
            <v>505922.3</v>
          </cell>
        </row>
        <row r="110">
          <cell r="C110">
            <v>75795.70000000006</v>
          </cell>
          <cell r="D110">
            <v>53038.5</v>
          </cell>
          <cell r="E110">
            <v>25791.5</v>
          </cell>
          <cell r="F110">
            <v>16940.77</v>
          </cell>
          <cell r="G110">
            <v>13861.6</v>
          </cell>
          <cell r="H110">
            <v>45439.8</v>
          </cell>
          <cell r="I110">
            <v>42821.6</v>
          </cell>
          <cell r="J110">
            <v>38105.5</v>
          </cell>
          <cell r="K110">
            <v>75988.4</v>
          </cell>
          <cell r="L110">
            <v>27103.3</v>
          </cell>
          <cell r="M110">
            <v>96017.5</v>
          </cell>
          <cell r="N110">
            <v>123992.2</v>
          </cell>
          <cell r="O110">
            <v>30219.3</v>
          </cell>
          <cell r="P110">
            <v>14278</v>
          </cell>
          <cell r="Q110">
            <v>90242.5</v>
          </cell>
          <cell r="R110">
            <v>113247.1</v>
          </cell>
          <cell r="S110">
            <v>49841.6</v>
          </cell>
          <cell r="T110">
            <v>46776.9</v>
          </cell>
          <cell r="V110">
            <v>80285.7</v>
          </cell>
          <cell r="W110">
            <v>37357.9</v>
          </cell>
          <cell r="X110">
            <v>19072.3</v>
          </cell>
          <cell r="Y110">
            <v>37574.5</v>
          </cell>
          <cell r="Z110">
            <v>25508.1</v>
          </cell>
          <cell r="AA110">
            <v>1179300.27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0"/>
  <sheetViews>
    <sheetView showGridLines="0" tabSelected="1" zoomScalePageLayoutView="0" workbookViewId="0" topLeftCell="A1">
      <pane xSplit="3" ySplit="4" topLeftCell="D110" activePane="bottomRight" state="frozen"/>
      <selection pane="topLeft" activeCell="AK4" sqref="AK4"/>
      <selection pane="topRight" activeCell="AK4" sqref="AK4"/>
      <selection pane="bottomLeft" activeCell="AK4" sqref="AK4"/>
      <selection pane="bottomRight" activeCell="B1" sqref="B1"/>
    </sheetView>
  </sheetViews>
  <sheetFormatPr defaultColWidth="11.421875" defaultRowHeight="12.75"/>
  <cols>
    <col min="1" max="1" width="3.00390625" style="3" customWidth="1"/>
    <col min="2" max="2" width="49.28125" style="3" customWidth="1"/>
    <col min="3" max="3" width="15.28125" style="3" customWidth="1"/>
    <col min="4" max="5" width="9.140625" style="3" customWidth="1"/>
    <col min="6" max="9" width="8.140625" style="3" customWidth="1"/>
    <col min="10" max="10" width="9.140625" style="3" customWidth="1"/>
    <col min="11" max="11" width="8.140625" style="3" customWidth="1"/>
    <col min="12" max="12" width="9.140625" style="3" customWidth="1"/>
    <col min="13" max="13" width="8.140625" style="3" customWidth="1"/>
    <col min="14" max="15" width="9.140625" style="3" customWidth="1"/>
    <col min="16" max="17" width="8.140625" style="3" customWidth="1"/>
    <col min="18" max="19" width="9.140625" style="3" customWidth="1"/>
    <col min="20" max="21" width="8.140625" style="3" customWidth="1"/>
    <col min="22" max="22" width="8.7109375" style="3" customWidth="1"/>
    <col min="23" max="23" width="9.140625" style="3" customWidth="1"/>
    <col min="24" max="27" width="8.140625" style="3" customWidth="1"/>
    <col min="28" max="28" width="10.7109375" style="3" customWidth="1"/>
    <col min="29" max="29" width="9.140625" style="3" customWidth="1"/>
    <col min="30" max="30" width="8.140625" style="3" customWidth="1"/>
    <col min="31" max="31" width="9.140625" style="3" customWidth="1"/>
    <col min="32" max="32" width="8.140625" style="3" customWidth="1"/>
    <col min="33" max="36" width="9.140625" style="3" customWidth="1"/>
    <col min="37" max="37" width="8.140625" style="3" customWidth="1"/>
    <col min="38" max="39" width="10.7109375" style="3" customWidth="1"/>
    <col min="40" max="16384" width="11.421875" style="3" customWidth="1"/>
  </cols>
  <sheetData>
    <row r="1" ht="20.25">
      <c r="B1" s="85" t="s">
        <v>102</v>
      </c>
    </row>
    <row r="2" spans="1:39" s="71" customFormat="1" ht="15.75" thickBot="1">
      <c r="A2" s="67"/>
      <c r="B2" s="70"/>
      <c r="C2" s="70"/>
      <c r="D2" s="81" t="s">
        <v>108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s="26" customFormat="1" ht="12.75">
      <c r="A3" s="22"/>
      <c r="B3" s="79" t="s">
        <v>104</v>
      </c>
      <c r="C3" s="23"/>
      <c r="D3" s="24" t="s">
        <v>0</v>
      </c>
      <c r="E3" s="24" t="s">
        <v>1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6</v>
      </c>
      <c r="K3" s="24" t="s">
        <v>7</v>
      </c>
      <c r="L3" s="24" t="s">
        <v>8</v>
      </c>
      <c r="M3" s="24" t="s">
        <v>9</v>
      </c>
      <c r="N3" s="24" t="s">
        <v>10</v>
      </c>
      <c r="O3" s="24" t="s">
        <v>11</v>
      </c>
      <c r="P3" s="24" t="s">
        <v>12</v>
      </c>
      <c r="Q3" s="24" t="s">
        <v>13</v>
      </c>
      <c r="R3" s="24" t="s">
        <v>14</v>
      </c>
      <c r="S3" s="24" t="s">
        <v>15</v>
      </c>
      <c r="T3" s="24" t="s">
        <v>16</v>
      </c>
      <c r="U3" s="24" t="s">
        <v>17</v>
      </c>
      <c r="V3" s="23" t="s">
        <v>18</v>
      </c>
      <c r="W3" s="24" t="s">
        <v>19</v>
      </c>
      <c r="X3" s="24" t="s">
        <v>20</v>
      </c>
      <c r="Y3" s="24" t="s">
        <v>21</v>
      </c>
      <c r="Z3" s="24" t="s">
        <v>22</v>
      </c>
      <c r="AA3" s="24" t="s">
        <v>23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5"/>
    </row>
    <row r="4" spans="1:39" ht="223.5">
      <c r="A4" s="14"/>
      <c r="B4" s="7"/>
      <c r="C4" s="8"/>
      <c r="D4" s="8" t="s">
        <v>24</v>
      </c>
      <c r="E4" s="9" t="s">
        <v>25</v>
      </c>
      <c r="F4" s="8" t="s">
        <v>26</v>
      </c>
      <c r="G4" s="8" t="s">
        <v>27</v>
      </c>
      <c r="H4" s="8" t="s">
        <v>28</v>
      </c>
      <c r="I4" s="8" t="s">
        <v>29</v>
      </c>
      <c r="J4" s="8" t="s">
        <v>30</v>
      </c>
      <c r="K4" s="8" t="s">
        <v>31</v>
      </c>
      <c r="L4" s="8" t="s">
        <v>32</v>
      </c>
      <c r="M4" s="8" t="s">
        <v>33</v>
      </c>
      <c r="N4" s="10" t="s">
        <v>34</v>
      </c>
      <c r="O4" s="8" t="s">
        <v>35</v>
      </c>
      <c r="P4" s="8" t="s">
        <v>36</v>
      </c>
      <c r="Q4" s="8" t="s">
        <v>37</v>
      </c>
      <c r="R4" s="8" t="s">
        <v>38</v>
      </c>
      <c r="S4" s="8" t="s">
        <v>109</v>
      </c>
      <c r="T4" s="8" t="s">
        <v>39</v>
      </c>
      <c r="U4" s="8" t="s">
        <v>40</v>
      </c>
      <c r="V4" s="8" t="s">
        <v>41</v>
      </c>
      <c r="W4" s="8" t="s">
        <v>42</v>
      </c>
      <c r="X4" s="8" t="s">
        <v>43</v>
      </c>
      <c r="Y4" s="8" t="s">
        <v>44</v>
      </c>
      <c r="Z4" s="8" t="s">
        <v>45</v>
      </c>
      <c r="AA4" s="8" t="s">
        <v>46</v>
      </c>
      <c r="AB4" s="8" t="s">
        <v>47</v>
      </c>
      <c r="AC4" s="8" t="s">
        <v>48</v>
      </c>
      <c r="AD4" s="8" t="s">
        <v>49</v>
      </c>
      <c r="AE4" s="8" t="s">
        <v>50</v>
      </c>
      <c r="AF4" s="8" t="s">
        <v>51</v>
      </c>
      <c r="AG4" s="8" t="s">
        <v>110</v>
      </c>
      <c r="AH4" s="8" t="s">
        <v>52</v>
      </c>
      <c r="AI4" s="8" t="s">
        <v>111</v>
      </c>
      <c r="AJ4" s="8" t="s">
        <v>53</v>
      </c>
      <c r="AK4" s="8" t="s">
        <v>54</v>
      </c>
      <c r="AL4" s="8" t="s">
        <v>55</v>
      </c>
      <c r="AM4" s="11" t="s">
        <v>56</v>
      </c>
    </row>
    <row r="5" spans="1:39" ht="12.75">
      <c r="A5" s="15" t="s">
        <v>0</v>
      </c>
      <c r="B5" s="5" t="s">
        <v>24</v>
      </c>
      <c r="C5" s="12" t="s">
        <v>57</v>
      </c>
      <c r="D5" s="12">
        <v>8525.8</v>
      </c>
      <c r="E5" s="12">
        <f>14055-924.5</f>
        <v>13130.5</v>
      </c>
      <c r="F5" s="12">
        <f>10439.2+3000</f>
        <v>13439.2</v>
      </c>
      <c r="G5" s="12">
        <v>2566.1</v>
      </c>
      <c r="H5" s="12">
        <v>0</v>
      </c>
      <c r="I5" s="12">
        <v>863.3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624.7</v>
      </c>
      <c r="Q5" s="12">
        <v>0</v>
      </c>
      <c r="R5" s="12">
        <v>11.1</v>
      </c>
      <c r="S5" s="12">
        <v>342</v>
      </c>
      <c r="T5" s="12">
        <v>0</v>
      </c>
      <c r="U5" s="12">
        <v>0</v>
      </c>
      <c r="V5" s="12">
        <v>0</v>
      </c>
      <c r="W5" s="12">
        <v>0</v>
      </c>
      <c r="X5" s="12">
        <v>5.9</v>
      </c>
      <c r="Y5" s="12">
        <v>4.7</v>
      </c>
      <c r="Z5" s="12">
        <v>48</v>
      </c>
      <c r="AA5" s="12">
        <v>15.2</v>
      </c>
      <c r="AB5" s="12">
        <f>SUM(D5:AA5)</f>
        <v>39576.49999999999</v>
      </c>
      <c r="AC5" s="12">
        <f>2359.4+3.7-500-0.6</f>
        <v>1862.5</v>
      </c>
      <c r="AD5" s="12">
        <v>0</v>
      </c>
      <c r="AE5" s="12">
        <f>23+500-508</f>
        <v>15</v>
      </c>
      <c r="AF5" s="12">
        <f>798.6-150+500</f>
        <v>1148.6</v>
      </c>
      <c r="AG5" s="12">
        <f>AE5+AF5</f>
        <v>1163.6</v>
      </c>
      <c r="AH5" s="12">
        <f>AI5+AJ5+AK5</f>
        <v>37527.799999999996</v>
      </c>
      <c r="AI5" s="12">
        <f>35694.9+6000+3500-8274.4-525-3500</f>
        <v>32895.5</v>
      </c>
      <c r="AJ5" s="12">
        <v>4196.2</v>
      </c>
      <c r="AK5" s="12">
        <f>436.2-0.1</f>
        <v>436.09999999999997</v>
      </c>
      <c r="AL5" s="12">
        <f>AH5+AG5+AD5+AC5</f>
        <v>40553.899999999994</v>
      </c>
      <c r="AM5" s="13">
        <f>AL5+AB5</f>
        <v>80130.4</v>
      </c>
    </row>
    <row r="6" spans="1:39" ht="12.75">
      <c r="A6" s="14"/>
      <c r="B6" s="5"/>
      <c r="C6" s="12" t="s">
        <v>58</v>
      </c>
      <c r="D6" s="12">
        <v>2302.3</v>
      </c>
      <c r="E6" s="12">
        <f>10845.5-713</f>
        <v>10132.5</v>
      </c>
      <c r="F6" s="12">
        <v>3650.6</v>
      </c>
      <c r="G6" s="12">
        <v>541.8</v>
      </c>
      <c r="H6" s="12">
        <v>0</v>
      </c>
      <c r="I6" s="12">
        <v>1266.2</v>
      </c>
      <c r="J6" s="12">
        <v>0</v>
      </c>
      <c r="K6" s="12">
        <v>0</v>
      </c>
      <c r="L6" s="12">
        <v>0</v>
      </c>
      <c r="M6" s="12">
        <v>0</v>
      </c>
      <c r="N6" s="12">
        <v>498.3</v>
      </c>
      <c r="O6" s="12">
        <v>0</v>
      </c>
      <c r="P6" s="12">
        <v>1105.2</v>
      </c>
      <c r="Q6" s="12">
        <v>0</v>
      </c>
      <c r="R6" s="12">
        <v>11.9</v>
      </c>
      <c r="S6" s="12">
        <v>3070.2</v>
      </c>
      <c r="T6" s="12">
        <v>0</v>
      </c>
      <c r="U6" s="12">
        <v>0</v>
      </c>
      <c r="V6" s="12">
        <v>0</v>
      </c>
      <c r="W6" s="12">
        <v>0</v>
      </c>
      <c r="X6" s="12">
        <v>63</v>
      </c>
      <c r="Y6" s="12">
        <v>9.2</v>
      </c>
      <c r="Z6" s="12">
        <v>243.8</v>
      </c>
      <c r="AA6" s="12">
        <v>126.7</v>
      </c>
      <c r="AB6" s="12">
        <f>SUM(D6:AA6)</f>
        <v>23021.700000000004</v>
      </c>
      <c r="AC6" s="12">
        <f>23617.4-800-6000-3500+7274.4+1600-6000</f>
        <v>16191.800000000003</v>
      </c>
      <c r="AD6" s="12">
        <v>0</v>
      </c>
      <c r="AE6" s="12">
        <f>816.2+1000+525+6000-7900</f>
        <v>441.2000000000007</v>
      </c>
      <c r="AF6" s="12">
        <v>0</v>
      </c>
      <c r="AG6" s="12">
        <f aca="true" t="shared" si="0" ref="AG6:AG21">AE6+AF6</f>
        <v>441.2000000000007</v>
      </c>
      <c r="AH6" s="12">
        <f aca="true" t="shared" si="1" ref="AH6:AH21">AI6+AJ6+AK6</f>
        <v>0</v>
      </c>
      <c r="AI6" s="12">
        <v>0</v>
      </c>
      <c r="AJ6" s="12">
        <v>0</v>
      </c>
      <c r="AK6" s="12">
        <v>0</v>
      </c>
      <c r="AL6" s="12">
        <f aca="true" t="shared" si="2" ref="AL6:AL21">AH6+AG6+AD6+AC6</f>
        <v>16633.000000000004</v>
      </c>
      <c r="AM6" s="13">
        <f aca="true" t="shared" si="3" ref="AM6:AM21">AL6+AB6</f>
        <v>39654.70000000001</v>
      </c>
    </row>
    <row r="7" spans="1:39" ht="12.75">
      <c r="A7" s="14"/>
      <c r="B7" s="5"/>
      <c r="C7" s="12" t="s">
        <v>59</v>
      </c>
      <c r="D7" s="12">
        <v>266.4</v>
      </c>
      <c r="E7" s="12">
        <f>2308.7-152.3</f>
        <v>2156.3999999999996</v>
      </c>
      <c r="F7" s="12">
        <v>411.7</v>
      </c>
      <c r="G7" s="12">
        <v>184.3</v>
      </c>
      <c r="H7" s="12">
        <v>0</v>
      </c>
      <c r="I7" s="12">
        <v>1226.5</v>
      </c>
      <c r="J7" s="12">
        <v>0</v>
      </c>
      <c r="K7" s="12">
        <v>0</v>
      </c>
      <c r="L7" s="12">
        <v>0</v>
      </c>
      <c r="M7" s="12">
        <v>0</v>
      </c>
      <c r="N7" s="12">
        <v>151.5</v>
      </c>
      <c r="O7" s="12">
        <v>0</v>
      </c>
      <c r="P7" s="12">
        <v>1100.7</v>
      </c>
      <c r="Q7" s="12">
        <v>0</v>
      </c>
      <c r="R7" s="12">
        <v>0</v>
      </c>
      <c r="S7" s="12">
        <v>21.7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f>SUM(D7:AA7)</f>
        <v>5519.199999999999</v>
      </c>
      <c r="AC7" s="12">
        <f>567.4+800+189.8-1200</f>
        <v>357.20000000000005</v>
      </c>
      <c r="AD7" s="12">
        <v>0</v>
      </c>
      <c r="AE7" s="12">
        <v>0</v>
      </c>
      <c r="AF7" s="12">
        <v>0</v>
      </c>
      <c r="AG7" s="12">
        <f t="shared" si="0"/>
        <v>0</v>
      </c>
      <c r="AH7" s="12">
        <f t="shared" si="1"/>
        <v>0</v>
      </c>
      <c r="AI7" s="12">
        <v>0</v>
      </c>
      <c r="AJ7" s="12">
        <v>0</v>
      </c>
      <c r="AK7" s="12">
        <v>0</v>
      </c>
      <c r="AL7" s="12">
        <f t="shared" si="2"/>
        <v>357.20000000000005</v>
      </c>
      <c r="AM7" s="13">
        <f t="shared" si="3"/>
        <v>5876.399999999999</v>
      </c>
    </row>
    <row r="8" spans="1:39" s="2" customFormat="1" ht="12.75">
      <c r="A8" s="14"/>
      <c r="B8" s="5"/>
      <c r="C8" s="6" t="s">
        <v>60</v>
      </c>
      <c r="D8" s="6">
        <f>SUM(D5:D7)</f>
        <v>11094.499999999998</v>
      </c>
      <c r="E8" s="6">
        <f aca="true" t="shared" si="4" ref="E8:T8">SUM(E5:E7)</f>
        <v>25419.4</v>
      </c>
      <c r="F8" s="6">
        <f t="shared" si="4"/>
        <v>17501.5</v>
      </c>
      <c r="G8" s="6">
        <f t="shared" si="4"/>
        <v>3292.2</v>
      </c>
      <c r="H8" s="6">
        <f t="shared" si="4"/>
        <v>0</v>
      </c>
      <c r="I8" s="6">
        <f t="shared" si="4"/>
        <v>3356</v>
      </c>
      <c r="J8" s="6">
        <f t="shared" si="4"/>
        <v>0</v>
      </c>
      <c r="K8" s="6">
        <f t="shared" si="4"/>
        <v>0</v>
      </c>
      <c r="L8" s="6">
        <f t="shared" si="4"/>
        <v>0</v>
      </c>
      <c r="M8" s="6">
        <f t="shared" si="4"/>
        <v>0</v>
      </c>
      <c r="N8" s="6">
        <f t="shared" si="4"/>
        <v>649.8</v>
      </c>
      <c r="O8" s="6">
        <f t="shared" si="4"/>
        <v>0</v>
      </c>
      <c r="P8" s="6">
        <f t="shared" si="4"/>
        <v>2830.6000000000004</v>
      </c>
      <c r="Q8" s="6">
        <f t="shared" si="4"/>
        <v>0</v>
      </c>
      <c r="R8" s="6">
        <f t="shared" si="4"/>
        <v>23</v>
      </c>
      <c r="S8" s="6">
        <f t="shared" si="4"/>
        <v>3433.8999999999996</v>
      </c>
      <c r="T8" s="6">
        <f t="shared" si="4"/>
        <v>0</v>
      </c>
      <c r="U8" s="6">
        <f aca="true" t="shared" si="5" ref="U8:AB8">SUM(U5:U7)</f>
        <v>0</v>
      </c>
      <c r="V8" s="6">
        <f t="shared" si="5"/>
        <v>0</v>
      </c>
      <c r="W8" s="6">
        <f t="shared" si="5"/>
        <v>0</v>
      </c>
      <c r="X8" s="6">
        <f t="shared" si="5"/>
        <v>68.9</v>
      </c>
      <c r="Y8" s="6">
        <f t="shared" si="5"/>
        <v>13.899999999999999</v>
      </c>
      <c r="Z8" s="6">
        <f>SUM(Z5:Z7)</f>
        <v>291.8</v>
      </c>
      <c r="AA8" s="6">
        <f t="shared" si="5"/>
        <v>141.9</v>
      </c>
      <c r="AB8" s="6">
        <f t="shared" si="5"/>
        <v>68117.4</v>
      </c>
      <c r="AC8" s="6">
        <f>SUM(AC5:AC7)</f>
        <v>18411.500000000004</v>
      </c>
      <c r="AD8" s="6">
        <v>0</v>
      </c>
      <c r="AE8" s="6">
        <f>SUM(AE5:AE7)</f>
        <v>456.2000000000007</v>
      </c>
      <c r="AF8" s="6">
        <f>SUM(AF5:AF7)</f>
        <v>1148.6</v>
      </c>
      <c r="AG8" s="6">
        <f t="shared" si="0"/>
        <v>1604.8000000000006</v>
      </c>
      <c r="AH8" s="6">
        <f t="shared" si="1"/>
        <v>37527.799999999996</v>
      </c>
      <c r="AI8" s="6">
        <f>SUM(AI5:AI7)</f>
        <v>32895.5</v>
      </c>
      <c r="AJ8" s="6">
        <v>4196.2</v>
      </c>
      <c r="AK8" s="6">
        <f>SUM(AK5:AK7)</f>
        <v>436.09999999999997</v>
      </c>
      <c r="AL8" s="6">
        <f t="shared" si="2"/>
        <v>57544.100000000006</v>
      </c>
      <c r="AM8" s="13">
        <f t="shared" si="3"/>
        <v>125661.5</v>
      </c>
    </row>
    <row r="9" spans="1:39" ht="12.75">
      <c r="A9" s="15" t="s">
        <v>1</v>
      </c>
      <c r="B9" s="5" t="s">
        <v>61</v>
      </c>
      <c r="C9" s="12" t="s">
        <v>57</v>
      </c>
      <c r="D9" s="12">
        <v>11626.8</v>
      </c>
      <c r="E9" s="12">
        <f>6137+1000+1000-535.2</f>
        <v>7601.8</v>
      </c>
      <c r="F9" s="12">
        <v>0</v>
      </c>
      <c r="G9" s="12">
        <v>125.3</v>
      </c>
      <c r="H9" s="12">
        <v>33.1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2454.4</v>
      </c>
      <c r="T9" s="12">
        <v>0</v>
      </c>
      <c r="U9" s="12">
        <v>0</v>
      </c>
      <c r="V9" s="12">
        <v>0</v>
      </c>
      <c r="W9" s="12">
        <v>0</v>
      </c>
      <c r="X9" s="12">
        <v>59.9</v>
      </c>
      <c r="Y9" s="12">
        <v>121.2</v>
      </c>
      <c r="Z9" s="12">
        <v>171.1</v>
      </c>
      <c r="AA9" s="12">
        <v>85.6</v>
      </c>
      <c r="AB9" s="12">
        <f aca="true" t="shared" si="6" ref="AB9:AB23">SUM(D9:AA9)</f>
        <v>22279.199999999997</v>
      </c>
      <c r="AC9" s="12">
        <f>14681.2-500+28+6.6-4000+1200</f>
        <v>11415.800000000001</v>
      </c>
      <c r="AD9" s="12">
        <v>0</v>
      </c>
      <c r="AE9" s="12">
        <v>0</v>
      </c>
      <c r="AF9" s="12">
        <v>882</v>
      </c>
      <c r="AG9" s="12">
        <f t="shared" si="0"/>
        <v>882</v>
      </c>
      <c r="AH9" s="12">
        <f t="shared" si="1"/>
        <v>48771.899999999994</v>
      </c>
      <c r="AI9" s="12">
        <f>46642.2+12000-7015.4-983-4064.5-3000</f>
        <v>43579.299999999996</v>
      </c>
      <c r="AJ9" s="12">
        <v>4765.5</v>
      </c>
      <c r="AK9" s="12">
        <f>427+0.1</f>
        <v>427.1</v>
      </c>
      <c r="AL9" s="12">
        <f t="shared" si="2"/>
        <v>61069.7</v>
      </c>
      <c r="AM9" s="13">
        <f t="shared" si="3"/>
        <v>83348.9</v>
      </c>
    </row>
    <row r="10" spans="1:39" ht="12.75">
      <c r="A10" s="14"/>
      <c r="B10" s="5"/>
      <c r="C10" s="12" t="s">
        <v>58</v>
      </c>
      <c r="D10" s="12">
        <v>3257.7</v>
      </c>
      <c r="E10" s="12">
        <f>5639.5+1000+1000-502.5</f>
        <v>7137</v>
      </c>
      <c r="F10" s="12">
        <v>0</v>
      </c>
      <c r="G10" s="12">
        <v>676.6</v>
      </c>
      <c r="H10" s="12">
        <v>1004.4</v>
      </c>
      <c r="I10" s="12">
        <v>258.2</v>
      </c>
      <c r="J10" s="12">
        <v>23.1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3258.1</v>
      </c>
      <c r="T10" s="12">
        <v>0</v>
      </c>
      <c r="U10" s="12">
        <v>0</v>
      </c>
      <c r="V10" s="12">
        <v>0</v>
      </c>
      <c r="W10" s="12">
        <v>0</v>
      </c>
      <c r="X10" s="12">
        <v>63.9</v>
      </c>
      <c r="Y10" s="12">
        <v>102.3</v>
      </c>
      <c r="Z10" s="12">
        <v>202.1</v>
      </c>
      <c r="AA10" s="12">
        <v>76.2</v>
      </c>
      <c r="AB10" s="12">
        <f t="shared" si="6"/>
        <v>16059.600000000002</v>
      </c>
      <c r="AC10" s="12">
        <f>42982.7-500-12000+7015.4+983-1000</f>
        <v>37481.1</v>
      </c>
      <c r="AD10" s="12">
        <v>0</v>
      </c>
      <c r="AE10" s="12">
        <v>0</v>
      </c>
      <c r="AF10" s="12">
        <v>0</v>
      </c>
      <c r="AG10" s="12">
        <f t="shared" si="0"/>
        <v>0</v>
      </c>
      <c r="AH10" s="12">
        <f t="shared" si="1"/>
        <v>0</v>
      </c>
      <c r="AI10" s="12">
        <v>0</v>
      </c>
      <c r="AJ10" s="12">
        <v>0</v>
      </c>
      <c r="AK10" s="12">
        <v>0</v>
      </c>
      <c r="AL10" s="12">
        <f t="shared" si="2"/>
        <v>37481.1</v>
      </c>
      <c r="AM10" s="13">
        <f t="shared" si="3"/>
        <v>53540.7</v>
      </c>
    </row>
    <row r="11" spans="1:39" ht="12.75">
      <c r="A11" s="14"/>
      <c r="B11" s="5"/>
      <c r="C11" s="12" t="s">
        <v>59</v>
      </c>
      <c r="D11" s="12">
        <v>0</v>
      </c>
      <c r="E11" s="12">
        <f>1485.9-97.8</f>
        <v>1388.1000000000001</v>
      </c>
      <c r="F11" s="12">
        <v>0</v>
      </c>
      <c r="G11" s="12">
        <v>411.9</v>
      </c>
      <c r="H11" s="12">
        <v>70.1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320.2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f t="shared" si="6"/>
        <v>2190.2999999999997</v>
      </c>
      <c r="AC11" s="12">
        <f>3320.4+1000-1200</f>
        <v>3120.3999999999996</v>
      </c>
      <c r="AD11" s="12">
        <v>0</v>
      </c>
      <c r="AE11" s="12">
        <v>0</v>
      </c>
      <c r="AF11" s="12">
        <v>0</v>
      </c>
      <c r="AG11" s="12">
        <f t="shared" si="0"/>
        <v>0</v>
      </c>
      <c r="AH11" s="12">
        <f t="shared" si="1"/>
        <v>0</v>
      </c>
      <c r="AI11" s="12">
        <v>0</v>
      </c>
      <c r="AJ11" s="12">
        <v>0</v>
      </c>
      <c r="AK11" s="12">
        <v>0</v>
      </c>
      <c r="AL11" s="12">
        <f t="shared" si="2"/>
        <v>3120.3999999999996</v>
      </c>
      <c r="AM11" s="13">
        <f t="shared" si="3"/>
        <v>5310.699999999999</v>
      </c>
    </row>
    <row r="12" spans="1:39" s="2" customFormat="1" ht="12.75">
      <c r="A12" s="14"/>
      <c r="B12" s="5"/>
      <c r="C12" s="6" t="s">
        <v>60</v>
      </c>
      <c r="D12" s="6">
        <f>SUM(D9:D11)</f>
        <v>14884.5</v>
      </c>
      <c r="E12" s="6">
        <f aca="true" t="shared" si="7" ref="E12:T12">SUM(E9:E11)</f>
        <v>16126.9</v>
      </c>
      <c r="F12" s="6">
        <f t="shared" si="7"/>
        <v>0</v>
      </c>
      <c r="G12" s="6">
        <f t="shared" si="7"/>
        <v>1213.8</v>
      </c>
      <c r="H12" s="6">
        <f t="shared" si="7"/>
        <v>1107.6</v>
      </c>
      <c r="I12" s="6">
        <f t="shared" si="7"/>
        <v>258.2</v>
      </c>
      <c r="J12" s="6">
        <f t="shared" si="7"/>
        <v>23.1</v>
      </c>
      <c r="K12" s="6">
        <f t="shared" si="7"/>
        <v>0</v>
      </c>
      <c r="L12" s="6">
        <f t="shared" si="7"/>
        <v>0</v>
      </c>
      <c r="M12" s="6">
        <f t="shared" si="7"/>
        <v>0</v>
      </c>
      <c r="N12" s="6">
        <f t="shared" si="7"/>
        <v>0</v>
      </c>
      <c r="O12" s="6">
        <f t="shared" si="7"/>
        <v>0</v>
      </c>
      <c r="P12" s="6">
        <f t="shared" si="7"/>
        <v>0</v>
      </c>
      <c r="Q12" s="6">
        <f t="shared" si="7"/>
        <v>0</v>
      </c>
      <c r="R12" s="6">
        <f t="shared" si="7"/>
        <v>0</v>
      </c>
      <c r="S12" s="6">
        <f t="shared" si="7"/>
        <v>6032.7</v>
      </c>
      <c r="T12" s="6">
        <f t="shared" si="7"/>
        <v>0</v>
      </c>
      <c r="U12" s="6">
        <f aca="true" t="shared" si="8" ref="U12:AB12">SUM(U9:U11)</f>
        <v>0</v>
      </c>
      <c r="V12" s="6">
        <f t="shared" si="8"/>
        <v>0</v>
      </c>
      <c r="W12" s="6">
        <f t="shared" si="8"/>
        <v>0</v>
      </c>
      <c r="X12" s="6">
        <f t="shared" si="8"/>
        <v>123.8</v>
      </c>
      <c r="Y12" s="6">
        <f t="shared" si="8"/>
        <v>223.5</v>
      </c>
      <c r="Z12" s="6">
        <f>SUM(Z9:Z11)</f>
        <v>373.2</v>
      </c>
      <c r="AA12" s="6">
        <f t="shared" si="8"/>
        <v>161.8</v>
      </c>
      <c r="AB12" s="6">
        <f t="shared" si="8"/>
        <v>40529.100000000006</v>
      </c>
      <c r="AC12" s="6">
        <f>SUM(AC9:AC11)</f>
        <v>52017.3</v>
      </c>
      <c r="AD12" s="6">
        <v>0</v>
      </c>
      <c r="AE12" s="6">
        <v>0</v>
      </c>
      <c r="AF12" s="6">
        <v>882</v>
      </c>
      <c r="AG12" s="6">
        <f t="shared" si="0"/>
        <v>882</v>
      </c>
      <c r="AH12" s="6">
        <f t="shared" si="1"/>
        <v>48771.899999999994</v>
      </c>
      <c r="AI12" s="6">
        <f>46642.2+12000-7015.4-983-4064.5-3000</f>
        <v>43579.299999999996</v>
      </c>
      <c r="AJ12" s="6">
        <v>4765.5</v>
      </c>
      <c r="AK12" s="6">
        <f>SUM(AK9:AK11)</f>
        <v>427.1</v>
      </c>
      <c r="AL12" s="6">
        <f t="shared" si="2"/>
        <v>101671.2</v>
      </c>
      <c r="AM12" s="13">
        <f t="shared" si="3"/>
        <v>142200.3</v>
      </c>
    </row>
    <row r="13" spans="1:39" ht="12.75">
      <c r="A13" s="15" t="s">
        <v>2</v>
      </c>
      <c r="B13" s="5" t="s">
        <v>26</v>
      </c>
      <c r="C13" s="12" t="s">
        <v>57</v>
      </c>
      <c r="D13" s="12">
        <v>0</v>
      </c>
      <c r="E13" s="12">
        <v>0</v>
      </c>
      <c r="F13" s="12">
        <v>303.3</v>
      </c>
      <c r="G13" s="12">
        <v>6.1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211.9</v>
      </c>
      <c r="T13" s="12">
        <v>0</v>
      </c>
      <c r="U13" s="12">
        <v>0</v>
      </c>
      <c r="V13" s="12">
        <v>0</v>
      </c>
      <c r="W13" s="12">
        <v>0</v>
      </c>
      <c r="X13" s="12">
        <v>5.9</v>
      </c>
      <c r="Y13" s="12">
        <v>8.9</v>
      </c>
      <c r="Z13" s="12">
        <v>19.9</v>
      </c>
      <c r="AA13" s="12">
        <v>6.2</v>
      </c>
      <c r="AB13" s="12">
        <f t="shared" si="6"/>
        <v>562.2</v>
      </c>
      <c r="AC13" s="12">
        <f>602.1-400-27+700+0.4</f>
        <v>875.5</v>
      </c>
      <c r="AD13" s="12">
        <v>0</v>
      </c>
      <c r="AE13" s="12">
        <v>0</v>
      </c>
      <c r="AF13" s="12">
        <v>1160.4</v>
      </c>
      <c r="AG13" s="12">
        <f t="shared" si="0"/>
        <v>1160.4</v>
      </c>
      <c r="AH13" s="12">
        <f t="shared" si="1"/>
        <v>34799.2</v>
      </c>
      <c r="AI13" s="12">
        <f>25930.8-700+3000</f>
        <v>28230.8</v>
      </c>
      <c r="AJ13" s="12">
        <v>5948.9</v>
      </c>
      <c r="AK13" s="12">
        <v>619.5</v>
      </c>
      <c r="AL13" s="12">
        <f t="shared" si="2"/>
        <v>36835.1</v>
      </c>
      <c r="AM13" s="13">
        <f t="shared" si="3"/>
        <v>37397.299999999996</v>
      </c>
    </row>
    <row r="14" spans="1:39" ht="12.75">
      <c r="A14" s="14"/>
      <c r="B14" s="5"/>
      <c r="C14" s="12" t="s">
        <v>58</v>
      </c>
      <c r="D14" s="12">
        <v>0</v>
      </c>
      <c r="E14" s="12">
        <v>0</v>
      </c>
      <c r="F14" s="12">
        <v>465.3</v>
      </c>
      <c r="G14" s="12">
        <v>10.2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238.6</v>
      </c>
      <c r="T14" s="12">
        <v>0</v>
      </c>
      <c r="U14" s="12">
        <v>0</v>
      </c>
      <c r="V14" s="12">
        <v>0</v>
      </c>
      <c r="W14" s="12">
        <v>0</v>
      </c>
      <c r="X14" s="12">
        <v>1</v>
      </c>
      <c r="Y14" s="12">
        <v>5.8</v>
      </c>
      <c r="Z14" s="12">
        <v>4.7</v>
      </c>
      <c r="AA14" s="12">
        <v>2.1</v>
      </c>
      <c r="AB14" s="12">
        <f t="shared" si="6"/>
        <v>727.7</v>
      </c>
      <c r="AC14" s="12">
        <f>1199.5+100+35</f>
        <v>1334.5</v>
      </c>
      <c r="AD14" s="12">
        <v>0</v>
      </c>
      <c r="AE14" s="12">
        <v>0</v>
      </c>
      <c r="AF14" s="12">
        <v>0</v>
      </c>
      <c r="AG14" s="12">
        <f t="shared" si="0"/>
        <v>0</v>
      </c>
      <c r="AH14" s="12">
        <f t="shared" si="1"/>
        <v>0</v>
      </c>
      <c r="AI14" s="12">
        <v>0</v>
      </c>
      <c r="AJ14" s="12">
        <v>0</v>
      </c>
      <c r="AK14" s="12">
        <v>0</v>
      </c>
      <c r="AL14" s="12">
        <f t="shared" si="2"/>
        <v>1334.5</v>
      </c>
      <c r="AM14" s="13">
        <f t="shared" si="3"/>
        <v>2062.2</v>
      </c>
    </row>
    <row r="15" spans="1:39" ht="12.75">
      <c r="A15" s="14"/>
      <c r="B15" s="5"/>
      <c r="C15" s="12" t="s">
        <v>59</v>
      </c>
      <c r="D15" s="12">
        <v>0</v>
      </c>
      <c r="E15" s="12">
        <v>0</v>
      </c>
      <c r="F15" s="12">
        <v>1507.2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f t="shared" si="6"/>
        <v>1507.2</v>
      </c>
      <c r="AC15" s="12">
        <f>426.3+300-35-100</f>
        <v>591.3</v>
      </c>
      <c r="AD15" s="12">
        <v>0</v>
      </c>
      <c r="AE15" s="12">
        <v>0</v>
      </c>
      <c r="AF15" s="12">
        <v>0</v>
      </c>
      <c r="AG15" s="12">
        <f t="shared" si="0"/>
        <v>0</v>
      </c>
      <c r="AH15" s="12">
        <f t="shared" si="1"/>
        <v>0</v>
      </c>
      <c r="AI15" s="12">
        <v>0</v>
      </c>
      <c r="AJ15" s="12">
        <v>0</v>
      </c>
      <c r="AK15" s="12">
        <v>0</v>
      </c>
      <c r="AL15" s="12">
        <f t="shared" si="2"/>
        <v>591.3</v>
      </c>
      <c r="AM15" s="13">
        <f t="shared" si="3"/>
        <v>2098.5</v>
      </c>
    </row>
    <row r="16" spans="1:39" s="2" customFormat="1" ht="12.75">
      <c r="A16" s="14"/>
      <c r="B16" s="5"/>
      <c r="C16" s="6" t="s">
        <v>60</v>
      </c>
      <c r="D16" s="6">
        <f>SUM(D13:D15)</f>
        <v>0</v>
      </c>
      <c r="E16" s="6">
        <f aca="true" t="shared" si="9" ref="E16:T16">SUM(E13:E15)</f>
        <v>0</v>
      </c>
      <c r="F16" s="6">
        <f t="shared" si="9"/>
        <v>2275.8</v>
      </c>
      <c r="G16" s="6">
        <f t="shared" si="9"/>
        <v>16.299999999999997</v>
      </c>
      <c r="H16" s="6">
        <f t="shared" si="9"/>
        <v>0</v>
      </c>
      <c r="I16" s="6">
        <f t="shared" si="9"/>
        <v>0</v>
      </c>
      <c r="J16" s="6">
        <f t="shared" si="9"/>
        <v>0</v>
      </c>
      <c r="K16" s="6">
        <f t="shared" si="9"/>
        <v>0</v>
      </c>
      <c r="L16" s="6">
        <f t="shared" si="9"/>
        <v>0</v>
      </c>
      <c r="M16" s="6">
        <f t="shared" si="9"/>
        <v>0</v>
      </c>
      <c r="N16" s="6">
        <f t="shared" si="9"/>
        <v>0</v>
      </c>
      <c r="O16" s="6">
        <f t="shared" si="9"/>
        <v>0</v>
      </c>
      <c r="P16" s="6">
        <f t="shared" si="9"/>
        <v>0</v>
      </c>
      <c r="Q16" s="6">
        <f t="shared" si="9"/>
        <v>0</v>
      </c>
      <c r="R16" s="6">
        <f t="shared" si="9"/>
        <v>0</v>
      </c>
      <c r="S16" s="6">
        <f t="shared" si="9"/>
        <v>450.5</v>
      </c>
      <c r="T16" s="6">
        <f t="shared" si="9"/>
        <v>0</v>
      </c>
      <c r="U16" s="6">
        <f aca="true" t="shared" si="10" ref="U16:AB16">SUM(U13:U15)</f>
        <v>0</v>
      </c>
      <c r="V16" s="6">
        <f t="shared" si="10"/>
        <v>0</v>
      </c>
      <c r="W16" s="6">
        <f t="shared" si="10"/>
        <v>0</v>
      </c>
      <c r="X16" s="6">
        <f t="shared" si="10"/>
        <v>6.9</v>
      </c>
      <c r="Y16" s="6">
        <f t="shared" si="10"/>
        <v>14.7</v>
      </c>
      <c r="Z16" s="6">
        <f>SUM(Z13:Z15)</f>
        <v>24.599999999999998</v>
      </c>
      <c r="AA16" s="6">
        <f t="shared" si="10"/>
        <v>8.3</v>
      </c>
      <c r="AB16" s="6">
        <f t="shared" si="10"/>
        <v>2797.1000000000004</v>
      </c>
      <c r="AC16" s="6">
        <f>SUM(AC13:AC15)</f>
        <v>2801.3</v>
      </c>
      <c r="AD16" s="6">
        <v>0</v>
      </c>
      <c r="AE16" s="6">
        <v>0</v>
      </c>
      <c r="AF16" s="6">
        <v>1160.4</v>
      </c>
      <c r="AG16" s="6">
        <f t="shared" si="0"/>
        <v>1160.4</v>
      </c>
      <c r="AH16" s="6">
        <f t="shared" si="1"/>
        <v>34799.2</v>
      </c>
      <c r="AI16" s="6">
        <f>25930.8-700+3000</f>
        <v>28230.8</v>
      </c>
      <c r="AJ16" s="6">
        <f>5948.9</f>
        <v>5948.9</v>
      </c>
      <c r="AK16" s="6">
        <v>619.5</v>
      </c>
      <c r="AL16" s="6">
        <f t="shared" si="2"/>
        <v>38760.9</v>
      </c>
      <c r="AM16" s="13">
        <f t="shared" si="3"/>
        <v>41558</v>
      </c>
    </row>
    <row r="17" spans="1:39" ht="12.75">
      <c r="A17" s="15" t="s">
        <v>3</v>
      </c>
      <c r="B17" s="5" t="s">
        <v>27</v>
      </c>
      <c r="C17" s="12" t="s">
        <v>57</v>
      </c>
      <c r="D17" s="12">
        <v>0</v>
      </c>
      <c r="E17" s="12">
        <v>0</v>
      </c>
      <c r="F17" s="12">
        <v>0</v>
      </c>
      <c r="G17" s="12">
        <v>2181.5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966.8</v>
      </c>
      <c r="T17" s="12">
        <v>0</v>
      </c>
      <c r="U17" s="12">
        <v>0</v>
      </c>
      <c r="V17" s="12">
        <v>0</v>
      </c>
      <c r="W17" s="12">
        <v>0.2</v>
      </c>
      <c r="X17" s="12">
        <v>2.4</v>
      </c>
      <c r="Y17" s="12">
        <v>2.2</v>
      </c>
      <c r="Z17" s="12">
        <v>7.2</v>
      </c>
      <c r="AA17" s="12">
        <v>5.2</v>
      </c>
      <c r="AB17" s="12">
        <f t="shared" si="6"/>
        <v>3165.4999999999995</v>
      </c>
      <c r="AC17" s="12">
        <f>382.8+1000+2000+0.4+2000-4799</f>
        <v>584.2000000000007</v>
      </c>
      <c r="AD17" s="12">
        <v>0</v>
      </c>
      <c r="AE17" s="12">
        <v>0</v>
      </c>
      <c r="AF17" s="12">
        <v>448.7</v>
      </c>
      <c r="AG17" s="12">
        <f t="shared" si="0"/>
        <v>448.7</v>
      </c>
      <c r="AH17" s="12">
        <f t="shared" si="1"/>
        <v>20913.4</v>
      </c>
      <c r="AI17" s="12">
        <f>15930.4-4000</f>
        <v>11930.4</v>
      </c>
      <c r="AJ17" s="12">
        <f>2442+4799</f>
        <v>7241</v>
      </c>
      <c r="AK17" s="12">
        <v>1742</v>
      </c>
      <c r="AL17" s="12">
        <f t="shared" si="2"/>
        <v>21946.300000000003</v>
      </c>
      <c r="AM17" s="13">
        <f t="shared" si="3"/>
        <v>25111.800000000003</v>
      </c>
    </row>
    <row r="18" spans="1:39" ht="12.75">
      <c r="A18" s="14"/>
      <c r="B18" s="5"/>
      <c r="C18" s="12" t="s">
        <v>58</v>
      </c>
      <c r="D18" s="12">
        <v>0</v>
      </c>
      <c r="E18" s="12">
        <v>0</v>
      </c>
      <c r="F18" s="12">
        <v>0</v>
      </c>
      <c r="G18" s="12">
        <v>2783.4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4779</v>
      </c>
      <c r="T18" s="12">
        <v>0</v>
      </c>
      <c r="U18" s="12">
        <v>0</v>
      </c>
      <c r="V18" s="12">
        <v>0</v>
      </c>
      <c r="W18" s="12">
        <v>0.9</v>
      </c>
      <c r="X18" s="12">
        <v>4.7</v>
      </c>
      <c r="Y18" s="12">
        <v>6.9</v>
      </c>
      <c r="Z18" s="12">
        <v>24.4</v>
      </c>
      <c r="AA18" s="12">
        <v>23.5</v>
      </c>
      <c r="AB18" s="12">
        <f t="shared" si="6"/>
        <v>7622.799999999998</v>
      </c>
      <c r="AC18" s="12">
        <f>5592.3-1000+5500</f>
        <v>10092.3</v>
      </c>
      <c r="AD18" s="12">
        <v>0</v>
      </c>
      <c r="AE18" s="12">
        <v>0</v>
      </c>
      <c r="AF18" s="12">
        <v>0</v>
      </c>
      <c r="AG18" s="12">
        <f t="shared" si="0"/>
        <v>0</v>
      </c>
      <c r="AH18" s="12">
        <f t="shared" si="1"/>
        <v>0</v>
      </c>
      <c r="AI18" s="12">
        <v>0</v>
      </c>
      <c r="AJ18" s="12">
        <v>0</v>
      </c>
      <c r="AK18" s="12">
        <v>0</v>
      </c>
      <c r="AL18" s="12">
        <f t="shared" si="2"/>
        <v>10092.3</v>
      </c>
      <c r="AM18" s="13">
        <f t="shared" si="3"/>
        <v>17715.1</v>
      </c>
    </row>
    <row r="19" spans="1:39" ht="12.75">
      <c r="A19" s="14"/>
      <c r="B19" s="5"/>
      <c r="C19" s="12" t="s">
        <v>59</v>
      </c>
      <c r="D19" s="12">
        <v>0</v>
      </c>
      <c r="E19" s="12">
        <v>0</v>
      </c>
      <c r="F19" s="12">
        <v>0</v>
      </c>
      <c r="G19" s="12">
        <v>368.6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272.6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f t="shared" si="6"/>
        <v>641.2</v>
      </c>
      <c r="AC19" s="12">
        <f>194.8+180</f>
        <v>374.8</v>
      </c>
      <c r="AD19" s="12">
        <v>0</v>
      </c>
      <c r="AE19" s="12">
        <v>0</v>
      </c>
      <c r="AF19" s="12">
        <v>0</v>
      </c>
      <c r="AG19" s="12">
        <f t="shared" si="0"/>
        <v>0</v>
      </c>
      <c r="AH19" s="12">
        <f t="shared" si="1"/>
        <v>0</v>
      </c>
      <c r="AI19" s="12">
        <v>0</v>
      </c>
      <c r="AJ19" s="12">
        <v>0</v>
      </c>
      <c r="AK19" s="12">
        <v>0</v>
      </c>
      <c r="AL19" s="12">
        <f t="shared" si="2"/>
        <v>374.8</v>
      </c>
      <c r="AM19" s="13">
        <f t="shared" si="3"/>
        <v>1016</v>
      </c>
    </row>
    <row r="20" spans="1:39" s="2" customFormat="1" ht="12.75">
      <c r="A20" s="14"/>
      <c r="B20" s="5"/>
      <c r="C20" s="6" t="s">
        <v>60</v>
      </c>
      <c r="D20" s="6">
        <f>SUM(D17:D19)</f>
        <v>0</v>
      </c>
      <c r="E20" s="6">
        <f aca="true" t="shared" si="11" ref="E20:T20">SUM(E17:E19)</f>
        <v>0</v>
      </c>
      <c r="F20" s="6">
        <f t="shared" si="11"/>
        <v>0</v>
      </c>
      <c r="G20" s="6">
        <f t="shared" si="11"/>
        <v>5333.5</v>
      </c>
      <c r="H20" s="6">
        <f t="shared" si="11"/>
        <v>0</v>
      </c>
      <c r="I20" s="6">
        <f t="shared" si="11"/>
        <v>0</v>
      </c>
      <c r="J20" s="6">
        <f t="shared" si="11"/>
        <v>0</v>
      </c>
      <c r="K20" s="6">
        <f t="shared" si="11"/>
        <v>0</v>
      </c>
      <c r="L20" s="6">
        <f t="shared" si="11"/>
        <v>0</v>
      </c>
      <c r="M20" s="6">
        <f t="shared" si="11"/>
        <v>0</v>
      </c>
      <c r="N20" s="6">
        <f t="shared" si="11"/>
        <v>0</v>
      </c>
      <c r="O20" s="6">
        <f t="shared" si="11"/>
        <v>0</v>
      </c>
      <c r="P20" s="6">
        <f t="shared" si="11"/>
        <v>0</v>
      </c>
      <c r="Q20" s="6">
        <f t="shared" si="11"/>
        <v>0</v>
      </c>
      <c r="R20" s="6">
        <f t="shared" si="11"/>
        <v>0</v>
      </c>
      <c r="S20" s="6">
        <f t="shared" si="11"/>
        <v>6018.400000000001</v>
      </c>
      <c r="T20" s="6">
        <f t="shared" si="11"/>
        <v>0</v>
      </c>
      <c r="U20" s="6">
        <f aca="true" t="shared" si="12" ref="U20:AB20">SUM(U17:U19)</f>
        <v>0</v>
      </c>
      <c r="V20" s="6">
        <f t="shared" si="12"/>
        <v>0</v>
      </c>
      <c r="W20" s="6">
        <f t="shared" si="12"/>
        <v>1.1</v>
      </c>
      <c r="X20" s="6">
        <f t="shared" si="12"/>
        <v>7.1</v>
      </c>
      <c r="Y20" s="6">
        <f t="shared" si="12"/>
        <v>9.100000000000001</v>
      </c>
      <c r="Z20" s="6">
        <f>SUM(Z17:Z19)</f>
        <v>31.599999999999998</v>
      </c>
      <c r="AA20" s="6">
        <f t="shared" si="12"/>
        <v>28.7</v>
      </c>
      <c r="AB20" s="6">
        <f t="shared" si="12"/>
        <v>11429.499999999998</v>
      </c>
      <c r="AC20" s="6">
        <f>SUM(AC17:AC19)</f>
        <v>11051.3</v>
      </c>
      <c r="AD20" s="6">
        <v>0</v>
      </c>
      <c r="AE20" s="6">
        <v>0</v>
      </c>
      <c r="AF20" s="6">
        <v>448.7</v>
      </c>
      <c r="AG20" s="6">
        <f t="shared" si="0"/>
        <v>448.7</v>
      </c>
      <c r="AH20" s="6">
        <f t="shared" si="1"/>
        <v>20913.4</v>
      </c>
      <c r="AI20" s="6">
        <f>15930.4-4000</f>
        <v>11930.4</v>
      </c>
      <c r="AJ20" s="6">
        <f>2442+4799</f>
        <v>7241</v>
      </c>
      <c r="AK20" s="6">
        <v>1742</v>
      </c>
      <c r="AL20" s="6">
        <f t="shared" si="2"/>
        <v>32413.4</v>
      </c>
      <c r="AM20" s="13">
        <f t="shared" si="3"/>
        <v>43842.9</v>
      </c>
    </row>
    <row r="21" spans="1:39" ht="12.75">
      <c r="A21" s="15" t="s">
        <v>4</v>
      </c>
      <c r="B21" s="5" t="s">
        <v>28</v>
      </c>
      <c r="C21" s="12" t="s">
        <v>57</v>
      </c>
      <c r="D21" s="12">
        <v>38.8</v>
      </c>
      <c r="E21" s="12">
        <v>18.2</v>
      </c>
      <c r="F21" s="12">
        <v>0.1</v>
      </c>
      <c r="G21" s="12">
        <v>2.9</v>
      </c>
      <c r="H21" s="12">
        <v>755.9</v>
      </c>
      <c r="I21" s="12">
        <v>6.7</v>
      </c>
      <c r="J21" s="12">
        <v>0</v>
      </c>
      <c r="K21" s="12">
        <v>0.1</v>
      </c>
      <c r="L21" s="12">
        <v>0</v>
      </c>
      <c r="M21" s="12">
        <v>2.8</v>
      </c>
      <c r="N21" s="12">
        <v>47.8</v>
      </c>
      <c r="O21" s="12">
        <v>7.7</v>
      </c>
      <c r="P21" s="12">
        <v>33</v>
      </c>
      <c r="Q21" s="12">
        <v>1.2</v>
      </c>
      <c r="R21" s="12">
        <v>7.5</v>
      </c>
      <c r="S21" s="12">
        <v>42.8</v>
      </c>
      <c r="T21" s="12">
        <v>2.1</v>
      </c>
      <c r="U21" s="12">
        <v>5.4</v>
      </c>
      <c r="V21" s="12">
        <v>0</v>
      </c>
      <c r="W21" s="12">
        <v>3.3</v>
      </c>
      <c r="X21" s="12">
        <v>50.4</v>
      </c>
      <c r="Y21" s="12">
        <v>1.5</v>
      </c>
      <c r="Z21" s="12">
        <v>45.1</v>
      </c>
      <c r="AA21" s="12">
        <v>8.6</v>
      </c>
      <c r="AB21" s="12">
        <f t="shared" si="6"/>
        <v>1081.8999999999999</v>
      </c>
      <c r="AC21" s="12">
        <f>1492.7+6000+1000+9.5+1000-1500-7000-12.2</f>
        <v>990.0000000000007</v>
      </c>
      <c r="AD21" s="12">
        <v>0</v>
      </c>
      <c r="AE21" s="12">
        <v>0</v>
      </c>
      <c r="AF21" s="12">
        <f>5109.6-5000</f>
        <v>109.60000000000036</v>
      </c>
      <c r="AG21" s="12">
        <f t="shared" si="0"/>
        <v>109.60000000000036</v>
      </c>
      <c r="AH21" s="12">
        <f t="shared" si="1"/>
        <v>19448.2</v>
      </c>
      <c r="AI21" s="12">
        <f>12649.7-4000+7400+12.2</f>
        <v>16061.900000000001</v>
      </c>
      <c r="AJ21" s="12">
        <f>3262.1-300</f>
        <v>2962.1</v>
      </c>
      <c r="AK21" s="12">
        <f>524.2-100</f>
        <v>424.20000000000005</v>
      </c>
      <c r="AL21" s="12">
        <f t="shared" si="2"/>
        <v>20547.800000000003</v>
      </c>
      <c r="AM21" s="13">
        <f t="shared" si="3"/>
        <v>21629.700000000004</v>
      </c>
    </row>
    <row r="22" spans="1:39" ht="12.75">
      <c r="A22" s="14"/>
      <c r="B22" s="5"/>
      <c r="C22" s="12" t="s">
        <v>58</v>
      </c>
      <c r="D22" s="12">
        <v>27</v>
      </c>
      <c r="E22" s="12">
        <v>40.1</v>
      </c>
      <c r="F22" s="12">
        <v>1.4</v>
      </c>
      <c r="G22" s="12">
        <v>3.5</v>
      </c>
      <c r="H22" s="12">
        <v>4138.9</v>
      </c>
      <c r="I22" s="12">
        <v>2</v>
      </c>
      <c r="J22" s="12">
        <v>89.8</v>
      </c>
      <c r="K22" s="12">
        <v>6.8</v>
      </c>
      <c r="L22" s="12">
        <v>0</v>
      </c>
      <c r="M22" s="12">
        <v>11.9</v>
      </c>
      <c r="N22" s="12">
        <v>160.1</v>
      </c>
      <c r="O22" s="12">
        <v>321.5</v>
      </c>
      <c r="P22" s="12">
        <v>1783.5</v>
      </c>
      <c r="Q22" s="12">
        <v>4.4</v>
      </c>
      <c r="R22" s="12">
        <v>90.3</v>
      </c>
      <c r="S22" s="12">
        <v>279.8</v>
      </c>
      <c r="T22" s="12">
        <v>51.2</v>
      </c>
      <c r="U22" s="12">
        <v>11.7</v>
      </c>
      <c r="V22" s="12">
        <v>0</v>
      </c>
      <c r="W22" s="12">
        <v>15.2</v>
      </c>
      <c r="X22" s="12">
        <v>126.3</v>
      </c>
      <c r="Y22" s="12">
        <v>3</v>
      </c>
      <c r="Z22" s="12">
        <v>124.4</v>
      </c>
      <c r="AA22" s="12">
        <v>58.6</v>
      </c>
      <c r="AB22" s="12">
        <f t="shared" si="6"/>
        <v>7351.4</v>
      </c>
      <c r="AC22" s="12">
        <f>28270-6000-1000+3000-5000</f>
        <v>19270</v>
      </c>
      <c r="AD22" s="12">
        <v>0</v>
      </c>
      <c r="AE22" s="12">
        <v>0</v>
      </c>
      <c r="AF22" s="12">
        <v>0</v>
      </c>
      <c r="AG22" s="12">
        <f aca="true" t="shared" si="13" ref="AG22:AG37">AE22+AF22</f>
        <v>0</v>
      </c>
      <c r="AH22" s="12">
        <f aca="true" t="shared" si="14" ref="AH22:AH37">AI22+AJ22+AK22</f>
        <v>0</v>
      </c>
      <c r="AI22" s="12">
        <v>0</v>
      </c>
      <c r="AJ22" s="12">
        <v>0</v>
      </c>
      <c r="AK22" s="12">
        <v>0</v>
      </c>
      <c r="AL22" s="12">
        <f aca="true" t="shared" si="15" ref="AL22:AL37">AH22+AG22+AD22+AC22</f>
        <v>19270</v>
      </c>
      <c r="AM22" s="13">
        <f aca="true" t="shared" si="16" ref="AM22:AM37">AL22+AB22</f>
        <v>26621.4</v>
      </c>
    </row>
    <row r="23" spans="1:39" ht="12.75">
      <c r="A23" s="14"/>
      <c r="B23" s="5"/>
      <c r="C23" s="12" t="s">
        <v>59</v>
      </c>
      <c r="D23" s="12">
        <v>0</v>
      </c>
      <c r="E23" s="12">
        <v>0</v>
      </c>
      <c r="F23" s="12">
        <v>0</v>
      </c>
      <c r="G23" s="12">
        <v>0</v>
      </c>
      <c r="H23" s="12">
        <v>895.3</v>
      </c>
      <c r="I23" s="12">
        <v>0</v>
      </c>
      <c r="J23" s="12">
        <v>510.3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681.5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f t="shared" si="6"/>
        <v>2087.1</v>
      </c>
      <c r="AC23" s="12">
        <f>2824+1000-1500-500</f>
        <v>1824</v>
      </c>
      <c r="AD23" s="12">
        <v>0</v>
      </c>
      <c r="AE23" s="12">
        <v>0</v>
      </c>
      <c r="AF23" s="12">
        <v>0</v>
      </c>
      <c r="AG23" s="12">
        <f t="shared" si="13"/>
        <v>0</v>
      </c>
      <c r="AH23" s="12">
        <f t="shared" si="14"/>
        <v>0</v>
      </c>
      <c r="AI23" s="12">
        <v>0</v>
      </c>
      <c r="AJ23" s="12">
        <v>0</v>
      </c>
      <c r="AK23" s="12">
        <v>0</v>
      </c>
      <c r="AL23" s="12">
        <f t="shared" si="15"/>
        <v>1824</v>
      </c>
      <c r="AM23" s="13">
        <f t="shared" si="16"/>
        <v>3911.1</v>
      </c>
    </row>
    <row r="24" spans="1:39" s="2" customFormat="1" ht="12.75">
      <c r="A24" s="14"/>
      <c r="B24" s="5"/>
      <c r="C24" s="6" t="s">
        <v>60</v>
      </c>
      <c r="D24" s="6">
        <f>SUM(D21:D23)</f>
        <v>65.8</v>
      </c>
      <c r="E24" s="6">
        <f aca="true" t="shared" si="17" ref="E24:T24">SUM(E21:E23)</f>
        <v>58.3</v>
      </c>
      <c r="F24" s="6">
        <f t="shared" si="17"/>
        <v>1.5</v>
      </c>
      <c r="G24" s="6">
        <f t="shared" si="17"/>
        <v>6.4</v>
      </c>
      <c r="H24" s="6">
        <f t="shared" si="17"/>
        <v>5790.099999999999</v>
      </c>
      <c r="I24" s="6">
        <f t="shared" si="17"/>
        <v>8.7</v>
      </c>
      <c r="J24" s="6">
        <f t="shared" si="17"/>
        <v>600.1</v>
      </c>
      <c r="K24" s="6">
        <f t="shared" si="17"/>
        <v>6.8999999999999995</v>
      </c>
      <c r="L24" s="6">
        <f t="shared" si="17"/>
        <v>0</v>
      </c>
      <c r="M24" s="6">
        <f t="shared" si="17"/>
        <v>14.7</v>
      </c>
      <c r="N24" s="6">
        <f t="shared" si="17"/>
        <v>207.89999999999998</v>
      </c>
      <c r="O24" s="6">
        <f t="shared" si="17"/>
        <v>329.2</v>
      </c>
      <c r="P24" s="6">
        <f t="shared" si="17"/>
        <v>2498</v>
      </c>
      <c r="Q24" s="6">
        <f t="shared" si="17"/>
        <v>5.6000000000000005</v>
      </c>
      <c r="R24" s="6">
        <f t="shared" si="17"/>
        <v>97.8</v>
      </c>
      <c r="S24" s="6">
        <f t="shared" si="17"/>
        <v>322.6</v>
      </c>
      <c r="T24" s="6">
        <f t="shared" si="17"/>
        <v>53.300000000000004</v>
      </c>
      <c r="U24" s="6">
        <f aca="true" t="shared" si="18" ref="U24:AB24">SUM(U21:U23)</f>
        <v>17.1</v>
      </c>
      <c r="V24" s="6">
        <f t="shared" si="18"/>
        <v>0</v>
      </c>
      <c r="W24" s="6">
        <f t="shared" si="18"/>
        <v>18.5</v>
      </c>
      <c r="X24" s="6">
        <f t="shared" si="18"/>
        <v>176.7</v>
      </c>
      <c r="Y24" s="6">
        <f t="shared" si="18"/>
        <v>4.5</v>
      </c>
      <c r="Z24" s="6">
        <f>SUM(Z21:Z23)</f>
        <v>169.5</v>
      </c>
      <c r="AA24" s="6">
        <f t="shared" si="18"/>
        <v>67.2</v>
      </c>
      <c r="AB24" s="6">
        <f t="shared" si="18"/>
        <v>10520.4</v>
      </c>
      <c r="AC24" s="6">
        <f>SUM(AC21:AC23)</f>
        <v>22084</v>
      </c>
      <c r="AD24" s="6">
        <v>0</v>
      </c>
      <c r="AE24" s="6">
        <v>0</v>
      </c>
      <c r="AF24" s="6">
        <f>SUM(AF21:AF23)</f>
        <v>109.60000000000036</v>
      </c>
      <c r="AG24" s="6">
        <f t="shared" si="13"/>
        <v>109.60000000000036</v>
      </c>
      <c r="AH24" s="6">
        <f t="shared" si="14"/>
        <v>19448.2</v>
      </c>
      <c r="AI24" s="6">
        <f>SUM(AI21:AI23)</f>
        <v>16061.900000000001</v>
      </c>
      <c r="AJ24" s="6">
        <f>SUM(AJ21:AJ23)</f>
        <v>2962.1</v>
      </c>
      <c r="AK24" s="6">
        <f>SUM(AK21:AK23)</f>
        <v>424.20000000000005</v>
      </c>
      <c r="AL24" s="6">
        <f t="shared" si="15"/>
        <v>41641.8</v>
      </c>
      <c r="AM24" s="13">
        <f t="shared" si="16"/>
        <v>52162.200000000004</v>
      </c>
    </row>
    <row r="25" spans="1:39" ht="12.75">
      <c r="A25" s="15" t="s">
        <v>5</v>
      </c>
      <c r="B25" s="5" t="s">
        <v>62</v>
      </c>
      <c r="C25" s="12" t="s">
        <v>57</v>
      </c>
      <c r="D25" s="12">
        <v>6.8</v>
      </c>
      <c r="E25" s="12">
        <f>253.6-16.6</f>
        <v>237</v>
      </c>
      <c r="F25" s="12">
        <v>57.2</v>
      </c>
      <c r="G25" s="12">
        <v>55.3</v>
      </c>
      <c r="H25" s="12">
        <v>23.4</v>
      </c>
      <c r="I25" s="12">
        <v>5079</v>
      </c>
      <c r="J25" s="12">
        <v>245.8</v>
      </c>
      <c r="K25" s="12">
        <v>60.7</v>
      </c>
      <c r="L25" s="12">
        <v>336.6</v>
      </c>
      <c r="M25" s="12">
        <v>252.2</v>
      </c>
      <c r="N25" s="12">
        <v>473.8</v>
      </c>
      <c r="O25" s="12">
        <v>328.2</v>
      </c>
      <c r="P25" s="12">
        <v>148.9</v>
      </c>
      <c r="Q25" s="12">
        <v>24.4</v>
      </c>
      <c r="R25" s="12">
        <v>72.7</v>
      </c>
      <c r="S25" s="12">
        <v>572.4</v>
      </c>
      <c r="T25" s="12">
        <v>120.9</v>
      </c>
      <c r="U25" s="12">
        <v>636.1</v>
      </c>
      <c r="V25" s="12">
        <v>0</v>
      </c>
      <c r="W25" s="12">
        <v>1159.7</v>
      </c>
      <c r="X25" s="12">
        <v>175.8</v>
      </c>
      <c r="Y25" s="12">
        <v>75.9</v>
      </c>
      <c r="Z25" s="12">
        <v>100.5</v>
      </c>
      <c r="AA25" s="12">
        <v>347.8</v>
      </c>
      <c r="AB25" s="12">
        <f aca="true" t="shared" si="19" ref="AB25:AB39">SUM(D25:AA25)</f>
        <v>10591.099999999997</v>
      </c>
      <c r="AC25" s="12">
        <f>1557.4+27.6+72.4</f>
        <v>1657.4</v>
      </c>
      <c r="AD25" s="12">
        <v>0</v>
      </c>
      <c r="AE25" s="12">
        <v>2.7</v>
      </c>
      <c r="AF25" s="12">
        <v>414.8</v>
      </c>
      <c r="AG25" s="12">
        <f t="shared" si="13"/>
        <v>417.5</v>
      </c>
      <c r="AH25" s="12">
        <f t="shared" si="14"/>
        <v>55519.7</v>
      </c>
      <c r="AI25" s="12">
        <v>38036.1</v>
      </c>
      <c r="AJ25" s="12">
        <f>13811.4+0.1</f>
        <v>13811.5</v>
      </c>
      <c r="AK25" s="12">
        <f>3671.9+0.2</f>
        <v>3672.1</v>
      </c>
      <c r="AL25" s="12">
        <f t="shared" si="15"/>
        <v>57594.6</v>
      </c>
      <c r="AM25" s="13">
        <f t="shared" si="16"/>
        <v>68185.7</v>
      </c>
    </row>
    <row r="26" spans="1:39" ht="12.75">
      <c r="A26" s="14"/>
      <c r="B26" s="5"/>
      <c r="C26" s="12" t="s">
        <v>58</v>
      </c>
      <c r="D26" s="12">
        <v>0</v>
      </c>
      <c r="E26" s="12">
        <f>937.2-55.8</f>
        <v>881.4000000000001</v>
      </c>
      <c r="F26" s="12">
        <v>314.1</v>
      </c>
      <c r="G26" s="12">
        <v>66.1</v>
      </c>
      <c r="H26" s="12">
        <v>105.4</v>
      </c>
      <c r="I26" s="12">
        <v>11849.4</v>
      </c>
      <c r="J26" s="12">
        <v>819.9</v>
      </c>
      <c r="K26" s="12">
        <v>111.2</v>
      </c>
      <c r="L26" s="12">
        <v>247.7</v>
      </c>
      <c r="M26" s="12">
        <v>64.4</v>
      </c>
      <c r="N26" s="12">
        <v>365.3</v>
      </c>
      <c r="O26" s="12">
        <v>151.6</v>
      </c>
      <c r="P26" s="12">
        <v>673.2</v>
      </c>
      <c r="Q26" s="12">
        <v>9.3</v>
      </c>
      <c r="R26" s="12">
        <v>117.9</v>
      </c>
      <c r="S26" s="12">
        <v>253.9</v>
      </c>
      <c r="T26" s="12">
        <v>82.7</v>
      </c>
      <c r="U26" s="12">
        <v>205.3</v>
      </c>
      <c r="V26" s="12">
        <v>0</v>
      </c>
      <c r="W26" s="12">
        <v>293.3</v>
      </c>
      <c r="X26" s="12">
        <v>335.4</v>
      </c>
      <c r="Y26" s="12">
        <v>401.5</v>
      </c>
      <c r="Z26" s="12">
        <v>74.5</v>
      </c>
      <c r="AA26" s="12">
        <v>33.9</v>
      </c>
      <c r="AB26" s="12">
        <f t="shared" si="19"/>
        <v>17457.4</v>
      </c>
      <c r="AC26" s="12">
        <v>2764.9</v>
      </c>
      <c r="AD26" s="12">
        <v>0</v>
      </c>
      <c r="AE26" s="12">
        <v>30</v>
      </c>
      <c r="AF26" s="12">
        <v>0</v>
      </c>
      <c r="AG26" s="12">
        <f t="shared" si="13"/>
        <v>30</v>
      </c>
      <c r="AH26" s="12">
        <f t="shared" si="14"/>
        <v>0</v>
      </c>
      <c r="AI26" s="12">
        <v>0</v>
      </c>
      <c r="AJ26" s="12">
        <v>0</v>
      </c>
      <c r="AK26" s="12">
        <v>0</v>
      </c>
      <c r="AL26" s="12">
        <f t="shared" si="15"/>
        <v>2794.9</v>
      </c>
      <c r="AM26" s="13">
        <f t="shared" si="16"/>
        <v>20252.300000000003</v>
      </c>
    </row>
    <row r="27" spans="1:39" ht="12.75">
      <c r="A27" s="14"/>
      <c r="B27" s="5"/>
      <c r="C27" s="12" t="s">
        <v>59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6316</v>
      </c>
      <c r="J27" s="12">
        <v>203.7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63.4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13</v>
      </c>
      <c r="X27" s="12">
        <v>4.8</v>
      </c>
      <c r="Y27" s="12">
        <v>4.5</v>
      </c>
      <c r="Z27" s="12">
        <v>0.9</v>
      </c>
      <c r="AA27" s="12">
        <v>0</v>
      </c>
      <c r="AB27" s="12">
        <f t="shared" si="19"/>
        <v>6606.299999999999</v>
      </c>
      <c r="AC27" s="12">
        <v>15.7</v>
      </c>
      <c r="AD27" s="12">
        <v>0</v>
      </c>
      <c r="AE27" s="12">
        <v>5.3</v>
      </c>
      <c r="AF27" s="12">
        <v>0</v>
      </c>
      <c r="AG27" s="12">
        <f t="shared" si="13"/>
        <v>5.3</v>
      </c>
      <c r="AH27" s="12">
        <f t="shared" si="14"/>
        <v>0</v>
      </c>
      <c r="AI27" s="12">
        <v>0</v>
      </c>
      <c r="AJ27" s="12">
        <v>0</v>
      </c>
      <c r="AK27" s="12">
        <v>0</v>
      </c>
      <c r="AL27" s="12">
        <f t="shared" si="15"/>
        <v>21</v>
      </c>
      <c r="AM27" s="13">
        <f t="shared" si="16"/>
        <v>6627.299999999999</v>
      </c>
    </row>
    <row r="28" spans="1:39" s="2" customFormat="1" ht="12.75">
      <c r="A28" s="14"/>
      <c r="B28" s="5"/>
      <c r="C28" s="6" t="s">
        <v>60</v>
      </c>
      <c r="D28" s="6">
        <f>SUM(D25:D27)</f>
        <v>6.8</v>
      </c>
      <c r="E28" s="6">
        <f aca="true" t="shared" si="20" ref="E28:T28">SUM(E25:E27)</f>
        <v>1118.4</v>
      </c>
      <c r="F28" s="6">
        <f t="shared" si="20"/>
        <v>371.3</v>
      </c>
      <c r="G28" s="6">
        <f t="shared" si="20"/>
        <v>121.39999999999999</v>
      </c>
      <c r="H28" s="6">
        <f t="shared" si="20"/>
        <v>128.8</v>
      </c>
      <c r="I28" s="6">
        <f t="shared" si="20"/>
        <v>23244.4</v>
      </c>
      <c r="J28" s="6">
        <f t="shared" si="20"/>
        <v>1269.4</v>
      </c>
      <c r="K28" s="6">
        <f t="shared" si="20"/>
        <v>171.9</v>
      </c>
      <c r="L28" s="6">
        <f t="shared" si="20"/>
        <v>584.3</v>
      </c>
      <c r="M28" s="6">
        <f t="shared" si="20"/>
        <v>316.6</v>
      </c>
      <c r="N28" s="6">
        <f t="shared" si="20"/>
        <v>839.1</v>
      </c>
      <c r="O28" s="6">
        <f t="shared" si="20"/>
        <v>479.79999999999995</v>
      </c>
      <c r="P28" s="6">
        <f t="shared" si="20"/>
        <v>885.5</v>
      </c>
      <c r="Q28" s="6">
        <f t="shared" si="20"/>
        <v>33.7</v>
      </c>
      <c r="R28" s="6">
        <f t="shared" si="20"/>
        <v>190.60000000000002</v>
      </c>
      <c r="S28" s="6">
        <f t="shared" si="20"/>
        <v>826.3</v>
      </c>
      <c r="T28" s="6">
        <f t="shared" si="20"/>
        <v>203.60000000000002</v>
      </c>
      <c r="U28" s="6">
        <f aca="true" t="shared" si="21" ref="U28:AB28">SUM(U25:U27)</f>
        <v>841.4000000000001</v>
      </c>
      <c r="V28" s="6">
        <f t="shared" si="21"/>
        <v>0</v>
      </c>
      <c r="W28" s="6">
        <f t="shared" si="21"/>
        <v>1466</v>
      </c>
      <c r="X28" s="6">
        <f t="shared" si="21"/>
        <v>516</v>
      </c>
      <c r="Y28" s="6">
        <f t="shared" si="21"/>
        <v>481.9</v>
      </c>
      <c r="Z28" s="6">
        <f>SUM(Z25:Z27)</f>
        <v>175.9</v>
      </c>
      <c r="AA28" s="6">
        <f t="shared" si="21"/>
        <v>381.7</v>
      </c>
      <c r="AB28" s="6">
        <f t="shared" si="21"/>
        <v>34654.8</v>
      </c>
      <c r="AC28" s="6">
        <f>SUM(AC25:AC27)</f>
        <v>4438</v>
      </c>
      <c r="AD28" s="6">
        <v>0</v>
      </c>
      <c r="AE28" s="6">
        <v>38</v>
      </c>
      <c r="AF28" s="6">
        <v>414.8</v>
      </c>
      <c r="AG28" s="6">
        <f t="shared" si="13"/>
        <v>452.8</v>
      </c>
      <c r="AH28" s="6">
        <f t="shared" si="14"/>
        <v>55519.7</v>
      </c>
      <c r="AI28" s="6">
        <v>38036.1</v>
      </c>
      <c r="AJ28" s="6">
        <f>SUM(AJ25:AJ27)</f>
        <v>13811.5</v>
      </c>
      <c r="AK28" s="6">
        <f>SUM(AK25:AK27)</f>
        <v>3672.1</v>
      </c>
      <c r="AL28" s="6">
        <f t="shared" si="15"/>
        <v>60410.5</v>
      </c>
      <c r="AM28" s="13">
        <f t="shared" si="16"/>
        <v>95065.3</v>
      </c>
    </row>
    <row r="29" spans="1:39" ht="12.75">
      <c r="A29" s="15" t="s">
        <v>6</v>
      </c>
      <c r="B29" s="5" t="s">
        <v>63</v>
      </c>
      <c r="C29" s="12" t="s">
        <v>57</v>
      </c>
      <c r="D29" s="12">
        <v>492.6</v>
      </c>
      <c r="E29" s="12">
        <f>162.1-10.6</f>
        <v>151.5</v>
      </c>
      <c r="F29" s="12">
        <v>71.9</v>
      </c>
      <c r="G29" s="12">
        <v>17.9</v>
      </c>
      <c r="H29" s="12">
        <v>166</v>
      </c>
      <c r="I29" s="12">
        <v>72.1</v>
      </c>
      <c r="J29" s="12">
        <v>498.4</v>
      </c>
      <c r="K29" s="12">
        <v>79.6</v>
      </c>
      <c r="L29" s="12">
        <v>34.9</v>
      </c>
      <c r="M29" s="12">
        <v>29.2</v>
      </c>
      <c r="N29" s="12">
        <v>2662.3</v>
      </c>
      <c r="O29" s="12">
        <v>876.2</v>
      </c>
      <c r="P29" s="12">
        <v>388.5</v>
      </c>
      <c r="Q29" s="12">
        <v>15.7</v>
      </c>
      <c r="R29" s="12">
        <v>647.6</v>
      </c>
      <c r="S29" s="12">
        <v>302.7</v>
      </c>
      <c r="T29" s="12">
        <v>31.1</v>
      </c>
      <c r="U29" s="12">
        <v>23.7</v>
      </c>
      <c r="V29" s="12">
        <v>0</v>
      </c>
      <c r="W29" s="12">
        <v>77.5</v>
      </c>
      <c r="X29" s="12">
        <v>78.7</v>
      </c>
      <c r="Y29" s="12">
        <v>7</v>
      </c>
      <c r="Z29" s="12">
        <v>236.1</v>
      </c>
      <c r="AA29" s="12">
        <v>47.8</v>
      </c>
      <c r="AB29" s="12">
        <f t="shared" si="19"/>
        <v>7009.000000000001</v>
      </c>
      <c r="AC29" s="12">
        <f>922.3+3000-2000-1000+12.4+82.5-200</f>
        <v>817.2000000000002</v>
      </c>
      <c r="AD29" s="12">
        <v>0</v>
      </c>
      <c r="AE29" s="12">
        <v>0</v>
      </c>
      <c r="AF29" s="12">
        <v>730.5</v>
      </c>
      <c r="AG29" s="12">
        <f t="shared" si="13"/>
        <v>730.5</v>
      </c>
      <c r="AH29" s="12">
        <f t="shared" si="14"/>
        <v>56029.299999999996</v>
      </c>
      <c r="AI29" s="12">
        <f>44491.2+3000-5000+1100-300</f>
        <v>43291.2</v>
      </c>
      <c r="AJ29" s="12">
        <f>10297.5-0.1</f>
        <v>10297.4</v>
      </c>
      <c r="AK29" s="12">
        <v>2440.7</v>
      </c>
      <c r="AL29" s="12">
        <f t="shared" si="15"/>
        <v>57576.99999999999</v>
      </c>
      <c r="AM29" s="13">
        <f t="shared" si="16"/>
        <v>64585.99999999999</v>
      </c>
    </row>
    <row r="30" spans="1:39" ht="12.75">
      <c r="A30" s="14"/>
      <c r="B30" s="5"/>
      <c r="C30" s="12" t="s">
        <v>58</v>
      </c>
      <c r="D30" s="12">
        <v>2561.1</v>
      </c>
      <c r="E30" s="12">
        <f>1093.3-71.9</f>
        <v>1021.4</v>
      </c>
      <c r="F30" s="12">
        <v>11.7</v>
      </c>
      <c r="G30" s="12">
        <v>690.6</v>
      </c>
      <c r="H30" s="12">
        <v>2243.6</v>
      </c>
      <c r="I30" s="12">
        <v>3585.8</v>
      </c>
      <c r="J30" s="12">
        <v>10892.1</v>
      </c>
      <c r="K30" s="12">
        <v>1290.5</v>
      </c>
      <c r="L30" s="12">
        <v>47.1</v>
      </c>
      <c r="M30" s="12">
        <v>840.4</v>
      </c>
      <c r="N30" s="12">
        <v>6081.4</v>
      </c>
      <c r="O30" s="12">
        <v>2421.9</v>
      </c>
      <c r="P30" s="12">
        <v>2086.2</v>
      </c>
      <c r="Q30" s="12">
        <v>129.8</v>
      </c>
      <c r="R30" s="12">
        <v>1546.5</v>
      </c>
      <c r="S30" s="12">
        <v>1546</v>
      </c>
      <c r="T30" s="12">
        <v>745.1</v>
      </c>
      <c r="U30" s="12">
        <v>20.9</v>
      </c>
      <c r="V30" s="12">
        <v>0</v>
      </c>
      <c r="W30" s="12">
        <v>270</v>
      </c>
      <c r="X30" s="12">
        <v>153.9</v>
      </c>
      <c r="Y30" s="12">
        <v>27.3</v>
      </c>
      <c r="Z30" s="12">
        <v>2893.6</v>
      </c>
      <c r="AA30" s="12">
        <v>241.1</v>
      </c>
      <c r="AB30" s="12">
        <f t="shared" si="19"/>
        <v>41348.00000000001</v>
      </c>
      <c r="AC30" s="12">
        <f>13015.6+2000-1400-1000</f>
        <v>12615.6</v>
      </c>
      <c r="AD30" s="12">
        <v>0</v>
      </c>
      <c r="AE30" s="12">
        <v>0</v>
      </c>
      <c r="AF30" s="12">
        <v>0</v>
      </c>
      <c r="AG30" s="12">
        <f t="shared" si="13"/>
        <v>0</v>
      </c>
      <c r="AH30" s="12">
        <f t="shared" si="14"/>
        <v>0</v>
      </c>
      <c r="AI30" s="12">
        <v>0</v>
      </c>
      <c r="AJ30" s="12">
        <v>0</v>
      </c>
      <c r="AK30" s="12">
        <v>0</v>
      </c>
      <c r="AL30" s="12">
        <f t="shared" si="15"/>
        <v>12615.6</v>
      </c>
      <c r="AM30" s="13">
        <f t="shared" si="16"/>
        <v>53963.600000000006</v>
      </c>
    </row>
    <row r="31" spans="1:39" ht="12.75">
      <c r="A31" s="14"/>
      <c r="B31" s="5"/>
      <c r="C31" s="12" t="s">
        <v>59</v>
      </c>
      <c r="D31" s="12">
        <v>3992</v>
      </c>
      <c r="E31" s="12">
        <v>0</v>
      </c>
      <c r="F31" s="12">
        <v>0</v>
      </c>
      <c r="G31" s="12">
        <v>480.6</v>
      </c>
      <c r="H31" s="12">
        <v>236.7</v>
      </c>
      <c r="I31" s="12">
        <v>103.2</v>
      </c>
      <c r="J31" s="12">
        <v>10453.4</v>
      </c>
      <c r="K31" s="12">
        <v>0</v>
      </c>
      <c r="L31" s="12">
        <v>0</v>
      </c>
      <c r="M31" s="12">
        <v>84.2</v>
      </c>
      <c r="N31" s="12">
        <v>2122.2</v>
      </c>
      <c r="O31" s="12">
        <v>394.2</v>
      </c>
      <c r="P31" s="12">
        <v>354.7</v>
      </c>
      <c r="Q31" s="12">
        <v>0</v>
      </c>
      <c r="R31" s="12">
        <v>8.9</v>
      </c>
      <c r="S31" s="12">
        <v>59.2</v>
      </c>
      <c r="T31" s="12">
        <v>114.4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1551.1</v>
      </c>
      <c r="AA31" s="12">
        <v>1.3</v>
      </c>
      <c r="AB31" s="12">
        <f t="shared" si="19"/>
        <v>19956.100000000002</v>
      </c>
      <c r="AC31" s="12">
        <f>939.3-200</f>
        <v>739.3</v>
      </c>
      <c r="AD31" s="12">
        <v>0</v>
      </c>
      <c r="AE31" s="12">
        <v>0</v>
      </c>
      <c r="AF31" s="12">
        <v>0</v>
      </c>
      <c r="AG31" s="12">
        <f t="shared" si="13"/>
        <v>0</v>
      </c>
      <c r="AH31" s="12">
        <f t="shared" si="14"/>
        <v>0</v>
      </c>
      <c r="AI31" s="12">
        <v>0</v>
      </c>
      <c r="AJ31" s="12">
        <v>0</v>
      </c>
      <c r="AK31" s="12">
        <v>0</v>
      </c>
      <c r="AL31" s="12">
        <f t="shared" si="15"/>
        <v>739.3</v>
      </c>
      <c r="AM31" s="13">
        <f t="shared" si="16"/>
        <v>20695.4</v>
      </c>
    </row>
    <row r="32" spans="1:39" s="2" customFormat="1" ht="12.75">
      <c r="A32" s="14"/>
      <c r="B32" s="5"/>
      <c r="C32" s="6" t="s">
        <v>60</v>
      </c>
      <c r="D32" s="6">
        <f>SUM(D29:D31)</f>
        <v>7045.7</v>
      </c>
      <c r="E32" s="6">
        <f aca="true" t="shared" si="22" ref="E32:T32">SUM(E29:E31)</f>
        <v>1172.9</v>
      </c>
      <c r="F32" s="6">
        <f t="shared" si="22"/>
        <v>83.60000000000001</v>
      </c>
      <c r="G32" s="6">
        <f t="shared" si="22"/>
        <v>1189.1</v>
      </c>
      <c r="H32" s="6">
        <f t="shared" si="22"/>
        <v>2646.2999999999997</v>
      </c>
      <c r="I32" s="6">
        <f t="shared" si="22"/>
        <v>3761.1</v>
      </c>
      <c r="J32" s="6">
        <f t="shared" si="22"/>
        <v>21843.9</v>
      </c>
      <c r="K32" s="6">
        <f t="shared" si="22"/>
        <v>1370.1</v>
      </c>
      <c r="L32" s="6">
        <f t="shared" si="22"/>
        <v>82</v>
      </c>
      <c r="M32" s="6">
        <f t="shared" si="22"/>
        <v>953.8000000000001</v>
      </c>
      <c r="N32" s="6">
        <f t="shared" si="22"/>
        <v>10865.900000000001</v>
      </c>
      <c r="O32" s="6">
        <f t="shared" si="22"/>
        <v>3692.3</v>
      </c>
      <c r="P32" s="6">
        <f t="shared" si="22"/>
        <v>2829.3999999999996</v>
      </c>
      <c r="Q32" s="6">
        <f t="shared" si="22"/>
        <v>145.5</v>
      </c>
      <c r="R32" s="6">
        <f t="shared" si="22"/>
        <v>2203</v>
      </c>
      <c r="S32" s="6">
        <f t="shared" si="22"/>
        <v>1907.9</v>
      </c>
      <c r="T32" s="6">
        <f t="shared" si="22"/>
        <v>890.6</v>
      </c>
      <c r="U32" s="6">
        <f aca="true" t="shared" si="23" ref="U32:AB32">SUM(U29:U31)</f>
        <v>44.599999999999994</v>
      </c>
      <c r="V32" s="6">
        <f t="shared" si="23"/>
        <v>0</v>
      </c>
      <c r="W32" s="6">
        <f t="shared" si="23"/>
        <v>347.5</v>
      </c>
      <c r="X32" s="6">
        <f t="shared" si="23"/>
        <v>232.60000000000002</v>
      </c>
      <c r="Y32" s="6">
        <f t="shared" si="23"/>
        <v>34.3</v>
      </c>
      <c r="Z32" s="6">
        <f>SUM(Z29:Z31)</f>
        <v>4680.799999999999</v>
      </c>
      <c r="AA32" s="6">
        <f t="shared" si="23"/>
        <v>290.2</v>
      </c>
      <c r="AB32" s="6">
        <f t="shared" si="23"/>
        <v>68313.1</v>
      </c>
      <c r="AC32" s="6">
        <f>SUM(AC29:AC31)</f>
        <v>14172.1</v>
      </c>
      <c r="AD32" s="6">
        <v>0</v>
      </c>
      <c r="AE32" s="6">
        <v>0</v>
      </c>
      <c r="AF32" s="6">
        <v>730.5</v>
      </c>
      <c r="AG32" s="6">
        <f t="shared" si="13"/>
        <v>730.5</v>
      </c>
      <c r="AH32" s="6">
        <f t="shared" si="14"/>
        <v>56029.299999999996</v>
      </c>
      <c r="AI32" s="6">
        <f>44491.2+3000-5000+1100-300</f>
        <v>43291.2</v>
      </c>
      <c r="AJ32" s="6">
        <f>SUM(AJ29:AJ31)</f>
        <v>10297.4</v>
      </c>
      <c r="AK32" s="6">
        <v>2440.7</v>
      </c>
      <c r="AL32" s="6">
        <f t="shared" si="15"/>
        <v>70931.9</v>
      </c>
      <c r="AM32" s="13">
        <f t="shared" si="16"/>
        <v>139245</v>
      </c>
    </row>
    <row r="33" spans="1:39" ht="12.75">
      <c r="A33" s="15" t="s">
        <v>7</v>
      </c>
      <c r="B33" s="5" t="s">
        <v>64</v>
      </c>
      <c r="C33" s="12" t="s">
        <v>57</v>
      </c>
      <c r="D33" s="12">
        <v>13.1</v>
      </c>
      <c r="E33" s="12">
        <f>1317.1-86.6</f>
        <v>1230.5</v>
      </c>
      <c r="F33" s="12">
        <v>0</v>
      </c>
      <c r="G33" s="12">
        <v>77.1</v>
      </c>
      <c r="H33" s="12">
        <v>0</v>
      </c>
      <c r="I33" s="12">
        <v>0</v>
      </c>
      <c r="J33" s="12">
        <v>9.2</v>
      </c>
      <c r="K33" s="12">
        <f>5669.3-900</f>
        <v>4769.3</v>
      </c>
      <c r="L33" s="12">
        <v>31.4</v>
      </c>
      <c r="M33" s="12">
        <v>63.4</v>
      </c>
      <c r="N33" s="12">
        <v>77.9</v>
      </c>
      <c r="O33" s="12">
        <v>1902.6</v>
      </c>
      <c r="P33" s="12">
        <v>45.9</v>
      </c>
      <c r="Q33" s="12">
        <v>276.8</v>
      </c>
      <c r="R33" s="12">
        <v>16121.6</v>
      </c>
      <c r="S33" s="12">
        <v>111</v>
      </c>
      <c r="T33" s="12">
        <v>14.4</v>
      </c>
      <c r="U33" s="12">
        <v>0.4</v>
      </c>
      <c r="V33" s="12">
        <v>0</v>
      </c>
      <c r="W33" s="12">
        <v>11.7</v>
      </c>
      <c r="X33" s="12">
        <v>19.5</v>
      </c>
      <c r="Y33" s="12">
        <v>1</v>
      </c>
      <c r="Z33" s="12">
        <v>9.3</v>
      </c>
      <c r="AA33" s="12">
        <v>4.7</v>
      </c>
      <c r="AB33" s="12">
        <f t="shared" si="19"/>
        <v>24790.8</v>
      </c>
      <c r="AC33" s="12">
        <f>219.7+2000-1600-500+1.7+88.4-40</f>
        <v>169.79999999999984</v>
      </c>
      <c r="AD33" s="12">
        <v>0</v>
      </c>
      <c r="AE33" s="12">
        <v>0</v>
      </c>
      <c r="AF33" s="12">
        <f>26.3-8</f>
        <v>18.3</v>
      </c>
      <c r="AG33" s="12">
        <f t="shared" si="13"/>
        <v>18.3</v>
      </c>
      <c r="AH33" s="12">
        <f>AI33+AJ33+AK33</f>
        <v>29743.100000000002</v>
      </c>
      <c r="AI33" s="12">
        <f>25669.5-2000-334+2400-1000+40-900</f>
        <v>23875.5</v>
      </c>
      <c r="AJ33" s="12">
        <f>5029.9+8-100</f>
        <v>4937.9</v>
      </c>
      <c r="AK33" s="12">
        <v>929.7</v>
      </c>
      <c r="AL33" s="12">
        <f t="shared" si="15"/>
        <v>29931.2</v>
      </c>
      <c r="AM33" s="13">
        <f t="shared" si="16"/>
        <v>54722</v>
      </c>
    </row>
    <row r="34" spans="1:39" ht="12.75">
      <c r="A34" s="14"/>
      <c r="B34" s="5"/>
      <c r="C34" s="12" t="s">
        <v>58</v>
      </c>
      <c r="D34" s="12">
        <v>0</v>
      </c>
      <c r="E34" s="12">
        <f>27.3000000000002-1.8</f>
        <v>25.5000000000002</v>
      </c>
      <c r="F34" s="12">
        <v>422.4</v>
      </c>
      <c r="G34" s="12">
        <v>739</v>
      </c>
      <c r="H34" s="12">
        <v>0</v>
      </c>
      <c r="I34" s="12">
        <v>0</v>
      </c>
      <c r="J34" s="12">
        <v>435.2</v>
      </c>
      <c r="K34" s="12">
        <f>4030.9-500</f>
        <v>3530.9</v>
      </c>
      <c r="L34" s="12">
        <v>279.6</v>
      </c>
      <c r="M34" s="12">
        <v>9.500000000000007</v>
      </c>
      <c r="N34" s="12">
        <v>141.6</v>
      </c>
      <c r="O34" s="12">
        <v>177.2</v>
      </c>
      <c r="P34" s="12">
        <v>100.9</v>
      </c>
      <c r="Q34" s="12">
        <v>7.099999999999966</v>
      </c>
      <c r="R34" s="12">
        <v>6379.4</v>
      </c>
      <c r="S34" s="12">
        <v>151.9</v>
      </c>
      <c r="T34" s="12">
        <v>5</v>
      </c>
      <c r="U34" s="12">
        <v>0.3</v>
      </c>
      <c r="V34" s="12">
        <v>0</v>
      </c>
      <c r="W34" s="12">
        <v>14.9</v>
      </c>
      <c r="X34" s="12">
        <v>12.1</v>
      </c>
      <c r="Y34" s="12">
        <v>0</v>
      </c>
      <c r="Z34" s="12">
        <v>54.6</v>
      </c>
      <c r="AA34" s="12">
        <v>2.1</v>
      </c>
      <c r="AB34" s="12">
        <f t="shared" si="19"/>
        <v>12489.199999999999</v>
      </c>
      <c r="AC34" s="12">
        <f>1014.7+1100-1500+1000-1000</f>
        <v>614.6999999999998</v>
      </c>
      <c r="AD34" s="12">
        <v>0</v>
      </c>
      <c r="AE34" s="12">
        <v>0</v>
      </c>
      <c r="AF34" s="12">
        <v>0</v>
      </c>
      <c r="AG34" s="12">
        <f t="shared" si="13"/>
        <v>0</v>
      </c>
      <c r="AH34" s="12">
        <f t="shared" si="14"/>
        <v>0</v>
      </c>
      <c r="AI34" s="12">
        <v>0</v>
      </c>
      <c r="AJ34" s="12">
        <v>0</v>
      </c>
      <c r="AK34" s="12">
        <v>0</v>
      </c>
      <c r="AL34" s="12">
        <f t="shared" si="15"/>
        <v>614.6999999999998</v>
      </c>
      <c r="AM34" s="13">
        <f t="shared" si="16"/>
        <v>13103.899999999998</v>
      </c>
    </row>
    <row r="35" spans="1:39" ht="12.75">
      <c r="A35" s="14"/>
      <c r="B35" s="5"/>
      <c r="C35" s="12" t="s">
        <v>59</v>
      </c>
      <c r="D35" s="12">
        <v>0</v>
      </c>
      <c r="E35" s="12">
        <v>0</v>
      </c>
      <c r="F35" s="12">
        <v>0</v>
      </c>
      <c r="G35" s="12">
        <v>1.4</v>
      </c>
      <c r="H35" s="12">
        <v>0</v>
      </c>
      <c r="I35" s="12">
        <v>0</v>
      </c>
      <c r="J35" s="12">
        <v>285</v>
      </c>
      <c r="K35" s="12">
        <f>867.4-100</f>
        <v>767.4</v>
      </c>
      <c r="L35" s="12">
        <v>15.7</v>
      </c>
      <c r="M35" s="12">
        <v>0</v>
      </c>
      <c r="N35" s="12">
        <v>353.2</v>
      </c>
      <c r="O35" s="12">
        <v>14.9</v>
      </c>
      <c r="P35" s="12">
        <v>0</v>
      </c>
      <c r="Q35" s="12">
        <v>0</v>
      </c>
      <c r="R35" s="12">
        <v>14.7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12.5</v>
      </c>
      <c r="AA35" s="12">
        <v>0</v>
      </c>
      <c r="AB35" s="12">
        <f t="shared" si="19"/>
        <v>1464.8000000000002</v>
      </c>
      <c r="AC35" s="12">
        <f>10.3+500-400-102</f>
        <v>8.300000000000011</v>
      </c>
      <c r="AD35" s="12">
        <v>0</v>
      </c>
      <c r="AE35" s="12">
        <v>0</v>
      </c>
      <c r="AF35" s="12">
        <v>0</v>
      </c>
      <c r="AG35" s="12">
        <f t="shared" si="13"/>
        <v>0</v>
      </c>
      <c r="AH35" s="12">
        <f t="shared" si="14"/>
        <v>0</v>
      </c>
      <c r="AI35" s="12">
        <v>0</v>
      </c>
      <c r="AJ35" s="12">
        <v>0</v>
      </c>
      <c r="AK35" s="12">
        <v>0</v>
      </c>
      <c r="AL35" s="12">
        <f t="shared" si="15"/>
        <v>8.300000000000011</v>
      </c>
      <c r="AM35" s="13">
        <f t="shared" si="16"/>
        <v>1473.1000000000001</v>
      </c>
    </row>
    <row r="36" spans="1:39" s="2" customFormat="1" ht="12.75">
      <c r="A36" s="14"/>
      <c r="B36" s="5"/>
      <c r="C36" s="6" t="s">
        <v>60</v>
      </c>
      <c r="D36" s="6">
        <f>SUM(D33:D35)</f>
        <v>13.1</v>
      </c>
      <c r="E36" s="6">
        <f aca="true" t="shared" si="24" ref="E36:T36">SUM(E33:E35)</f>
        <v>1256.0000000000002</v>
      </c>
      <c r="F36" s="6">
        <f t="shared" si="24"/>
        <v>422.4</v>
      </c>
      <c r="G36" s="6">
        <f t="shared" si="24"/>
        <v>817.5</v>
      </c>
      <c r="H36" s="6">
        <f t="shared" si="24"/>
        <v>0</v>
      </c>
      <c r="I36" s="6">
        <f t="shared" si="24"/>
        <v>0</v>
      </c>
      <c r="J36" s="6">
        <f t="shared" si="24"/>
        <v>729.4</v>
      </c>
      <c r="K36" s="6">
        <f t="shared" si="24"/>
        <v>9067.6</v>
      </c>
      <c r="L36" s="6">
        <f t="shared" si="24"/>
        <v>326.7</v>
      </c>
      <c r="M36" s="6">
        <f t="shared" si="24"/>
        <v>72.9</v>
      </c>
      <c r="N36" s="6">
        <f t="shared" si="24"/>
        <v>572.7</v>
      </c>
      <c r="O36" s="6">
        <f t="shared" si="24"/>
        <v>2094.7</v>
      </c>
      <c r="P36" s="6">
        <f t="shared" si="24"/>
        <v>146.8</v>
      </c>
      <c r="Q36" s="6">
        <f t="shared" si="24"/>
        <v>283.9</v>
      </c>
      <c r="R36" s="6">
        <f t="shared" si="24"/>
        <v>22515.7</v>
      </c>
      <c r="S36" s="6">
        <f t="shared" si="24"/>
        <v>262.9</v>
      </c>
      <c r="T36" s="6">
        <f t="shared" si="24"/>
        <v>19.4</v>
      </c>
      <c r="U36" s="6">
        <f aca="true" t="shared" si="25" ref="U36:AB36">SUM(U33:U35)</f>
        <v>0.7</v>
      </c>
      <c r="V36" s="6">
        <f t="shared" si="25"/>
        <v>0</v>
      </c>
      <c r="W36" s="6">
        <f t="shared" si="25"/>
        <v>26.6</v>
      </c>
      <c r="X36" s="6">
        <f t="shared" si="25"/>
        <v>31.6</v>
      </c>
      <c r="Y36" s="6">
        <f t="shared" si="25"/>
        <v>1</v>
      </c>
      <c r="Z36" s="6">
        <f>SUM(Z33:Z35)</f>
        <v>76.4</v>
      </c>
      <c r="AA36" s="6">
        <f t="shared" si="25"/>
        <v>6.800000000000001</v>
      </c>
      <c r="AB36" s="6">
        <f t="shared" si="25"/>
        <v>38744.8</v>
      </c>
      <c r="AC36" s="6">
        <f>AC33+AC34+AC35</f>
        <v>792.7999999999997</v>
      </c>
      <c r="AD36" s="6">
        <v>0</v>
      </c>
      <c r="AE36" s="6">
        <v>0</v>
      </c>
      <c r="AF36" s="6">
        <f>SUM(AF33:AF35)</f>
        <v>18.3</v>
      </c>
      <c r="AG36" s="6">
        <f t="shared" si="13"/>
        <v>18.3</v>
      </c>
      <c r="AH36" s="6">
        <f t="shared" si="14"/>
        <v>29743.100000000002</v>
      </c>
      <c r="AI36" s="6">
        <f>SUM(AI33:AI35)</f>
        <v>23875.5</v>
      </c>
      <c r="AJ36" s="6">
        <f>SUM(AJ33:AJ35)</f>
        <v>4937.9</v>
      </c>
      <c r="AK36" s="6">
        <v>929.7</v>
      </c>
      <c r="AL36" s="6">
        <f t="shared" si="15"/>
        <v>30554.2</v>
      </c>
      <c r="AM36" s="13">
        <f t="shared" si="16"/>
        <v>69299</v>
      </c>
    </row>
    <row r="37" spans="1:39" ht="12.75">
      <c r="A37" s="15" t="s">
        <v>8</v>
      </c>
      <c r="B37" s="5" t="s">
        <v>32</v>
      </c>
      <c r="C37" s="12" t="s">
        <v>57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107.3</v>
      </c>
      <c r="K37" s="12">
        <v>52.1</v>
      </c>
      <c r="L37" s="12">
        <v>373.2</v>
      </c>
      <c r="M37" s="12">
        <v>3428.2</v>
      </c>
      <c r="N37" s="12">
        <v>8380.4</v>
      </c>
      <c r="O37" s="12">
        <v>1480</v>
      </c>
      <c r="P37" s="12">
        <v>763.4</v>
      </c>
      <c r="Q37" s="12">
        <v>0</v>
      </c>
      <c r="R37" s="12">
        <v>6699.3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21.9</v>
      </c>
      <c r="Y37" s="12">
        <v>0</v>
      </c>
      <c r="Z37" s="12">
        <v>0</v>
      </c>
      <c r="AA37" s="12">
        <v>0</v>
      </c>
      <c r="AB37" s="12">
        <f t="shared" si="19"/>
        <v>21305.8</v>
      </c>
      <c r="AC37" s="12">
        <v>0</v>
      </c>
      <c r="AD37" s="12">
        <v>0</v>
      </c>
      <c r="AE37" s="12">
        <v>0</v>
      </c>
      <c r="AF37" s="12">
        <f>20862.4-2000-8000</f>
        <v>10862.400000000001</v>
      </c>
      <c r="AG37" s="12">
        <f t="shared" si="13"/>
        <v>10862.400000000001</v>
      </c>
      <c r="AH37" s="12">
        <f t="shared" si="14"/>
        <v>81490.7</v>
      </c>
      <c r="AI37" s="12">
        <f>119619.8-15602.5-22193.5+1.2-18000+2000</f>
        <v>65825</v>
      </c>
      <c r="AJ37" s="12">
        <f>22647.7-12000+2000</f>
        <v>12647.7</v>
      </c>
      <c r="AK37" s="12">
        <f>6818-3800</f>
        <v>3018</v>
      </c>
      <c r="AL37" s="12">
        <f t="shared" si="15"/>
        <v>92353.1</v>
      </c>
      <c r="AM37" s="13">
        <f t="shared" si="16"/>
        <v>113658.90000000001</v>
      </c>
    </row>
    <row r="38" spans="1:39" ht="12.75">
      <c r="A38" s="16"/>
      <c r="B38" s="5"/>
      <c r="C38" s="12" t="s">
        <v>58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23.7</v>
      </c>
      <c r="J38" s="12">
        <v>210.6</v>
      </c>
      <c r="K38" s="12">
        <v>1237.7</v>
      </c>
      <c r="L38" s="12">
        <f>70595.4-26660.2</f>
        <v>43935.2</v>
      </c>
      <c r="M38" s="12">
        <v>7360.7</v>
      </c>
      <c r="N38" s="12">
        <v>8570.4</v>
      </c>
      <c r="O38" s="12">
        <v>5493.4</v>
      </c>
      <c r="P38" s="12">
        <v>1640</v>
      </c>
      <c r="Q38" s="12">
        <v>16.1</v>
      </c>
      <c r="R38" s="12">
        <v>750.5999999999995</v>
      </c>
      <c r="S38" s="12">
        <v>0</v>
      </c>
      <c r="T38" s="12">
        <v>30.4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f t="shared" si="19"/>
        <v>69268.8</v>
      </c>
      <c r="AC38" s="12">
        <v>0</v>
      </c>
      <c r="AD38" s="12">
        <v>0</v>
      </c>
      <c r="AE38" s="12">
        <v>0</v>
      </c>
      <c r="AF38" s="12">
        <v>0</v>
      </c>
      <c r="AG38" s="12">
        <f aca="true" t="shared" si="26" ref="AG38:AG53">AE38+AF38</f>
        <v>0</v>
      </c>
      <c r="AH38" s="12">
        <f aca="true" t="shared" si="27" ref="AH38:AH53">AI38+AJ38+AK38</f>
        <v>0</v>
      </c>
      <c r="AI38" s="12">
        <v>0</v>
      </c>
      <c r="AJ38" s="12">
        <v>0</v>
      </c>
      <c r="AK38" s="12">
        <v>0</v>
      </c>
      <c r="AL38" s="12">
        <f aca="true" t="shared" si="28" ref="AL38:AL53">AH38+AG38+AD38+AC38</f>
        <v>0</v>
      </c>
      <c r="AM38" s="13">
        <f aca="true" t="shared" si="29" ref="AM38:AM53">AL38+AB38</f>
        <v>69268.8</v>
      </c>
    </row>
    <row r="39" spans="1:39" ht="12.75">
      <c r="A39" s="16"/>
      <c r="B39" s="5"/>
      <c r="C39" s="12" t="s">
        <v>59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83.8</v>
      </c>
      <c r="L39" s="12">
        <f>29653.5-11339.8</f>
        <v>18313.7</v>
      </c>
      <c r="M39" s="12">
        <v>2934.7</v>
      </c>
      <c r="N39" s="12">
        <v>8563.5</v>
      </c>
      <c r="O39" s="12">
        <v>2154.4</v>
      </c>
      <c r="P39" s="12">
        <v>55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f t="shared" si="19"/>
        <v>32105.100000000002</v>
      </c>
      <c r="AC39" s="12">
        <v>0</v>
      </c>
      <c r="AD39" s="12">
        <v>0</v>
      </c>
      <c r="AE39" s="12">
        <v>0</v>
      </c>
      <c r="AF39" s="12">
        <v>0</v>
      </c>
      <c r="AG39" s="12">
        <f t="shared" si="26"/>
        <v>0</v>
      </c>
      <c r="AH39" s="12">
        <f t="shared" si="27"/>
        <v>0</v>
      </c>
      <c r="AI39" s="12">
        <v>0</v>
      </c>
      <c r="AJ39" s="12">
        <v>0</v>
      </c>
      <c r="AK39" s="12">
        <v>0</v>
      </c>
      <c r="AL39" s="12">
        <f t="shared" si="28"/>
        <v>0</v>
      </c>
      <c r="AM39" s="13">
        <f t="shared" si="29"/>
        <v>32105.100000000002</v>
      </c>
    </row>
    <row r="40" spans="1:39" s="2" customFormat="1" ht="12.75">
      <c r="A40" s="16"/>
      <c r="B40" s="5"/>
      <c r="C40" s="6" t="s">
        <v>60</v>
      </c>
      <c r="D40" s="6">
        <f>SUM(D37:D39)</f>
        <v>0</v>
      </c>
      <c r="E40" s="6">
        <f aca="true" t="shared" si="30" ref="E40:T40">SUM(E37:E39)</f>
        <v>0</v>
      </c>
      <c r="F40" s="6">
        <f t="shared" si="30"/>
        <v>0</v>
      </c>
      <c r="G40" s="6">
        <f t="shared" si="30"/>
        <v>0</v>
      </c>
      <c r="H40" s="6">
        <f t="shared" si="30"/>
        <v>0</v>
      </c>
      <c r="I40" s="6">
        <f t="shared" si="30"/>
        <v>23.7</v>
      </c>
      <c r="J40" s="6">
        <f t="shared" si="30"/>
        <v>317.9</v>
      </c>
      <c r="K40" s="6">
        <f t="shared" si="30"/>
        <v>1373.6</v>
      </c>
      <c r="L40" s="6">
        <f t="shared" si="30"/>
        <v>62622.09999999999</v>
      </c>
      <c r="M40" s="6">
        <f t="shared" si="30"/>
        <v>13723.599999999999</v>
      </c>
      <c r="N40" s="6">
        <f t="shared" si="30"/>
        <v>25514.3</v>
      </c>
      <c r="O40" s="6">
        <f t="shared" si="30"/>
        <v>9127.8</v>
      </c>
      <c r="P40" s="6">
        <f t="shared" si="30"/>
        <v>2458.4</v>
      </c>
      <c r="Q40" s="6">
        <f t="shared" si="30"/>
        <v>16.1</v>
      </c>
      <c r="R40" s="6">
        <f t="shared" si="30"/>
        <v>7449.9</v>
      </c>
      <c r="S40" s="6">
        <f t="shared" si="30"/>
        <v>0</v>
      </c>
      <c r="T40" s="6">
        <f t="shared" si="30"/>
        <v>30.4</v>
      </c>
      <c r="U40" s="6">
        <f aca="true" t="shared" si="31" ref="U40:AB40">SUM(U37:U39)</f>
        <v>0</v>
      </c>
      <c r="V40" s="6">
        <f t="shared" si="31"/>
        <v>0</v>
      </c>
      <c r="W40" s="6">
        <f t="shared" si="31"/>
        <v>0</v>
      </c>
      <c r="X40" s="6">
        <f t="shared" si="31"/>
        <v>21.9</v>
      </c>
      <c r="Y40" s="6">
        <f t="shared" si="31"/>
        <v>0</v>
      </c>
      <c r="Z40" s="6">
        <v>0</v>
      </c>
      <c r="AA40" s="6">
        <f t="shared" si="31"/>
        <v>0</v>
      </c>
      <c r="AB40" s="6">
        <f t="shared" si="31"/>
        <v>122679.70000000001</v>
      </c>
      <c r="AC40" s="6">
        <v>0</v>
      </c>
      <c r="AD40" s="6">
        <v>0</v>
      </c>
      <c r="AE40" s="6">
        <v>0</v>
      </c>
      <c r="AF40" s="6">
        <f>SUM(AF37:AF39)</f>
        <v>10862.400000000001</v>
      </c>
      <c r="AG40" s="6">
        <f t="shared" si="26"/>
        <v>10862.400000000001</v>
      </c>
      <c r="AH40" s="6">
        <f>AI40+AJ40+AK40</f>
        <v>81490.7</v>
      </c>
      <c r="AI40" s="6">
        <f>SUM(AI37:AI39)</f>
        <v>65825</v>
      </c>
      <c r="AJ40" s="6">
        <f>SUM(AJ37:AJ39)</f>
        <v>12647.7</v>
      </c>
      <c r="AK40" s="6">
        <f>SUM(AK37:AK39)</f>
        <v>3018</v>
      </c>
      <c r="AL40" s="6">
        <f t="shared" si="28"/>
        <v>92353.1</v>
      </c>
      <c r="AM40" s="13">
        <f t="shared" si="29"/>
        <v>215032.80000000002</v>
      </c>
    </row>
    <row r="41" spans="1:39" ht="12.75">
      <c r="A41" s="15" t="s">
        <v>9</v>
      </c>
      <c r="B41" s="5" t="s">
        <v>65</v>
      </c>
      <c r="C41" s="12" t="s">
        <v>57</v>
      </c>
      <c r="D41" s="12">
        <v>1.3</v>
      </c>
      <c r="E41" s="12">
        <v>38.1</v>
      </c>
      <c r="F41" s="12">
        <v>26.8</v>
      </c>
      <c r="G41" s="12">
        <v>90</v>
      </c>
      <c r="H41" s="12">
        <v>6.9</v>
      </c>
      <c r="I41" s="12">
        <v>9.3</v>
      </c>
      <c r="J41" s="12">
        <v>53.4</v>
      </c>
      <c r="K41" s="12">
        <v>16.3</v>
      </c>
      <c r="L41" s="12">
        <v>74.7</v>
      </c>
      <c r="M41" s="12">
        <v>500.2</v>
      </c>
      <c r="N41" s="12">
        <v>1169.8</v>
      </c>
      <c r="O41" s="12">
        <v>586.2</v>
      </c>
      <c r="P41" s="12">
        <v>102.4</v>
      </c>
      <c r="Q41" s="12">
        <v>20</v>
      </c>
      <c r="R41" s="12">
        <v>2971.5</v>
      </c>
      <c r="S41" s="12">
        <v>4.6</v>
      </c>
      <c r="T41" s="12">
        <v>8.4</v>
      </c>
      <c r="U41" s="12">
        <v>0</v>
      </c>
      <c r="V41" s="12">
        <v>0</v>
      </c>
      <c r="W41" s="12">
        <v>8.6</v>
      </c>
      <c r="X41" s="12">
        <v>16.7</v>
      </c>
      <c r="Y41" s="12">
        <v>0.8</v>
      </c>
      <c r="Z41" s="12">
        <v>3.9</v>
      </c>
      <c r="AA41" s="12">
        <v>3.6</v>
      </c>
      <c r="AB41" s="12">
        <f aca="true" t="shared" si="32" ref="AB41:AB55">SUM(D41:AA41)</f>
        <v>5713.5</v>
      </c>
      <c r="AC41" s="12">
        <f>54+4.7</f>
        <v>58.7</v>
      </c>
      <c r="AD41" s="12">
        <v>0</v>
      </c>
      <c r="AE41" s="12">
        <v>2835.9</v>
      </c>
      <c r="AF41" s="12">
        <v>1125.9</v>
      </c>
      <c r="AG41" s="12">
        <f t="shared" si="26"/>
        <v>3961.8</v>
      </c>
      <c r="AH41" s="12">
        <f t="shared" si="27"/>
        <v>32005.500000000004</v>
      </c>
      <c r="AI41" s="12">
        <v>26539.4</v>
      </c>
      <c r="AJ41" s="12">
        <v>3548.7</v>
      </c>
      <c r="AK41" s="12">
        <v>1917.4</v>
      </c>
      <c r="AL41" s="12">
        <f t="shared" si="28"/>
        <v>36026</v>
      </c>
      <c r="AM41" s="13">
        <f t="shared" si="29"/>
        <v>41739.5</v>
      </c>
    </row>
    <row r="42" spans="1:39" ht="12.75">
      <c r="A42" s="16"/>
      <c r="B42" s="5"/>
      <c r="C42" s="12" t="s">
        <v>58</v>
      </c>
      <c r="D42" s="12">
        <v>10.7</v>
      </c>
      <c r="E42" s="12">
        <v>260.7</v>
      </c>
      <c r="F42" s="12">
        <v>420</v>
      </c>
      <c r="G42" s="12">
        <v>573.3</v>
      </c>
      <c r="H42" s="12">
        <v>24.8</v>
      </c>
      <c r="I42" s="12">
        <v>40.1</v>
      </c>
      <c r="J42" s="12">
        <v>38.9</v>
      </c>
      <c r="K42" s="12">
        <v>20.5</v>
      </c>
      <c r="L42" s="12">
        <v>33.8</v>
      </c>
      <c r="M42" s="12">
        <v>1133.7</v>
      </c>
      <c r="N42" s="12">
        <v>1582.1</v>
      </c>
      <c r="O42" s="12">
        <v>1854.4</v>
      </c>
      <c r="P42" s="12">
        <v>442.9</v>
      </c>
      <c r="Q42" s="12">
        <v>105.3</v>
      </c>
      <c r="R42" s="12">
        <v>3992.1</v>
      </c>
      <c r="S42" s="12">
        <v>40.8</v>
      </c>
      <c r="T42" s="12">
        <v>15.5</v>
      </c>
      <c r="U42" s="12">
        <v>0</v>
      </c>
      <c r="V42" s="12">
        <v>0</v>
      </c>
      <c r="W42" s="12">
        <v>1.4</v>
      </c>
      <c r="X42" s="12">
        <v>71.9</v>
      </c>
      <c r="Y42" s="12">
        <v>5.9</v>
      </c>
      <c r="Z42" s="12">
        <v>5.4</v>
      </c>
      <c r="AA42" s="12">
        <v>2.2</v>
      </c>
      <c r="AB42" s="12">
        <f t="shared" si="32"/>
        <v>10676.399999999998</v>
      </c>
      <c r="AC42" s="12">
        <v>1474.2</v>
      </c>
      <c r="AD42" s="12">
        <v>0</v>
      </c>
      <c r="AE42" s="12">
        <f>5908.6-286</f>
        <v>5622.6</v>
      </c>
      <c r="AF42" s="12">
        <v>0</v>
      </c>
      <c r="AG42" s="12">
        <f t="shared" si="26"/>
        <v>5622.6</v>
      </c>
      <c r="AH42" s="12">
        <f t="shared" si="27"/>
        <v>0</v>
      </c>
      <c r="AI42" s="12">
        <v>0</v>
      </c>
      <c r="AJ42" s="12">
        <v>0</v>
      </c>
      <c r="AK42" s="12">
        <v>0</v>
      </c>
      <c r="AL42" s="12">
        <f t="shared" si="28"/>
        <v>7096.8</v>
      </c>
      <c r="AM42" s="13">
        <f t="shared" si="29"/>
        <v>17773.199999999997</v>
      </c>
    </row>
    <row r="43" spans="1:39" ht="12.75">
      <c r="A43" s="16"/>
      <c r="B43" s="5"/>
      <c r="C43" s="12" t="s">
        <v>59</v>
      </c>
      <c r="D43" s="12">
        <v>1.1</v>
      </c>
      <c r="E43" s="12">
        <v>19.9</v>
      </c>
      <c r="F43" s="12">
        <v>54.3</v>
      </c>
      <c r="G43" s="12">
        <v>94.7</v>
      </c>
      <c r="H43" s="12">
        <v>0</v>
      </c>
      <c r="I43" s="12">
        <v>0</v>
      </c>
      <c r="J43" s="12">
        <v>5.3</v>
      </c>
      <c r="K43" s="12">
        <v>0</v>
      </c>
      <c r="L43" s="12">
        <v>14.4</v>
      </c>
      <c r="M43" s="12">
        <v>289.8</v>
      </c>
      <c r="N43" s="12">
        <v>567.8</v>
      </c>
      <c r="O43" s="12">
        <v>612.3</v>
      </c>
      <c r="P43" s="12">
        <v>231.9</v>
      </c>
      <c r="Q43" s="12">
        <v>0</v>
      </c>
      <c r="R43" s="12">
        <v>458.7</v>
      </c>
      <c r="S43" s="12">
        <v>1.4</v>
      </c>
      <c r="T43" s="12">
        <v>1.4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72</v>
      </c>
      <c r="AA43" s="12">
        <v>0</v>
      </c>
      <c r="AB43" s="12">
        <f t="shared" si="32"/>
        <v>2425</v>
      </c>
      <c r="AC43" s="12">
        <v>160.7</v>
      </c>
      <c r="AD43" s="12">
        <v>0</v>
      </c>
      <c r="AE43" s="12">
        <f>479.2+286</f>
        <v>765.2</v>
      </c>
      <c r="AF43" s="12">
        <v>0</v>
      </c>
      <c r="AG43" s="12">
        <f t="shared" si="26"/>
        <v>765.2</v>
      </c>
      <c r="AH43" s="12">
        <f t="shared" si="27"/>
        <v>0</v>
      </c>
      <c r="AI43" s="12">
        <v>0</v>
      </c>
      <c r="AJ43" s="12">
        <v>0</v>
      </c>
      <c r="AK43" s="12">
        <v>0</v>
      </c>
      <c r="AL43" s="12">
        <f t="shared" si="28"/>
        <v>925.9000000000001</v>
      </c>
      <c r="AM43" s="13">
        <f t="shared" si="29"/>
        <v>3350.9</v>
      </c>
    </row>
    <row r="44" spans="1:39" s="2" customFormat="1" ht="12.75">
      <c r="A44" s="16"/>
      <c r="B44" s="5"/>
      <c r="C44" s="6" t="s">
        <v>60</v>
      </c>
      <c r="D44" s="6">
        <f>SUM(D41:D43)</f>
        <v>13.1</v>
      </c>
      <c r="E44" s="6">
        <f aca="true" t="shared" si="33" ref="E44:T44">SUM(E41:E43)</f>
        <v>318.7</v>
      </c>
      <c r="F44" s="6">
        <f t="shared" si="33"/>
        <v>501.1</v>
      </c>
      <c r="G44" s="6">
        <f t="shared" si="33"/>
        <v>758</v>
      </c>
      <c r="H44" s="6">
        <f t="shared" si="33"/>
        <v>31.700000000000003</v>
      </c>
      <c r="I44" s="6">
        <f t="shared" si="33"/>
        <v>49.400000000000006</v>
      </c>
      <c r="J44" s="6">
        <f t="shared" si="33"/>
        <v>97.6</v>
      </c>
      <c r="K44" s="6">
        <f t="shared" si="33"/>
        <v>36.8</v>
      </c>
      <c r="L44" s="6">
        <f t="shared" si="33"/>
        <v>122.9</v>
      </c>
      <c r="M44" s="6">
        <f t="shared" si="33"/>
        <v>1923.7</v>
      </c>
      <c r="N44" s="6">
        <f t="shared" si="33"/>
        <v>3319.7</v>
      </c>
      <c r="O44" s="6">
        <f t="shared" si="33"/>
        <v>3052.9000000000005</v>
      </c>
      <c r="P44" s="6">
        <f t="shared" si="33"/>
        <v>777.1999999999999</v>
      </c>
      <c r="Q44" s="6">
        <f t="shared" si="33"/>
        <v>125.3</v>
      </c>
      <c r="R44" s="6">
        <f t="shared" si="33"/>
        <v>7422.3</v>
      </c>
      <c r="S44" s="6">
        <f t="shared" si="33"/>
        <v>46.8</v>
      </c>
      <c r="T44" s="6">
        <f t="shared" si="33"/>
        <v>25.299999999999997</v>
      </c>
      <c r="U44" s="6">
        <f aca="true" t="shared" si="34" ref="U44:AB44">SUM(U41:U43)</f>
        <v>0</v>
      </c>
      <c r="V44" s="6">
        <f t="shared" si="34"/>
        <v>0</v>
      </c>
      <c r="W44" s="6">
        <f t="shared" si="34"/>
        <v>10</v>
      </c>
      <c r="X44" s="6">
        <f t="shared" si="34"/>
        <v>88.60000000000001</v>
      </c>
      <c r="Y44" s="6">
        <f t="shared" si="34"/>
        <v>6.7</v>
      </c>
      <c r="Z44" s="6">
        <f>SUM(Z41:Z43)</f>
        <v>81.3</v>
      </c>
      <c r="AA44" s="6">
        <f t="shared" si="34"/>
        <v>5.800000000000001</v>
      </c>
      <c r="AB44" s="6">
        <f t="shared" si="34"/>
        <v>18814.899999999998</v>
      </c>
      <c r="AC44" s="6">
        <f>1688.9+4.7</f>
        <v>1693.6000000000001</v>
      </c>
      <c r="AD44" s="6">
        <v>0</v>
      </c>
      <c r="AE44" s="6">
        <f>SUM(AE41:AE43)</f>
        <v>9223.7</v>
      </c>
      <c r="AF44" s="6">
        <v>1125.9</v>
      </c>
      <c r="AG44" s="6">
        <f t="shared" si="26"/>
        <v>10349.6</v>
      </c>
      <c r="AH44" s="6">
        <f t="shared" si="27"/>
        <v>32005.500000000004</v>
      </c>
      <c r="AI44" s="6">
        <v>26539.4</v>
      </c>
      <c r="AJ44" s="6">
        <v>3548.7</v>
      </c>
      <c r="AK44" s="6">
        <v>1917.4</v>
      </c>
      <c r="AL44" s="6">
        <f t="shared" si="28"/>
        <v>44048.700000000004</v>
      </c>
      <c r="AM44" s="13">
        <f t="shared" si="29"/>
        <v>62863.600000000006</v>
      </c>
    </row>
    <row r="45" spans="1:39" ht="12.75">
      <c r="A45" s="15" t="s">
        <v>10</v>
      </c>
      <c r="B45" s="5" t="s">
        <v>66</v>
      </c>
      <c r="C45" s="12" t="s">
        <v>57</v>
      </c>
      <c r="D45" s="12">
        <v>3345.4</v>
      </c>
      <c r="E45" s="12">
        <v>107.8</v>
      </c>
      <c r="F45" s="12">
        <v>206.8</v>
      </c>
      <c r="G45" s="12">
        <v>113.9</v>
      </c>
      <c r="H45" s="12">
        <v>56.5</v>
      </c>
      <c r="I45" s="12">
        <v>46.3</v>
      </c>
      <c r="J45" s="12">
        <v>95.7</v>
      </c>
      <c r="K45" s="12">
        <v>412.3</v>
      </c>
      <c r="L45" s="12">
        <v>882.7</v>
      </c>
      <c r="M45" s="12">
        <v>101.1</v>
      </c>
      <c r="N45" s="12">
        <v>7956.6</v>
      </c>
      <c r="O45" s="12">
        <v>5301.7</v>
      </c>
      <c r="P45" s="12">
        <v>179.5</v>
      </c>
      <c r="Q45" s="12">
        <v>53.6</v>
      </c>
      <c r="R45" s="12">
        <v>1616.2</v>
      </c>
      <c r="S45" s="12">
        <v>579.4</v>
      </c>
      <c r="T45" s="12">
        <v>29</v>
      </c>
      <c r="U45" s="12">
        <v>4.5</v>
      </c>
      <c r="V45" s="12">
        <v>0</v>
      </c>
      <c r="W45" s="12">
        <v>1254.9</v>
      </c>
      <c r="X45" s="12">
        <v>0</v>
      </c>
      <c r="Y45" s="12">
        <v>1.3</v>
      </c>
      <c r="Z45" s="12">
        <v>29.3</v>
      </c>
      <c r="AA45" s="12">
        <v>261.5</v>
      </c>
      <c r="AB45" s="12">
        <f t="shared" si="32"/>
        <v>22636.000000000004</v>
      </c>
      <c r="AC45" s="12">
        <f>1310.4+1.3</f>
        <v>1311.7</v>
      </c>
      <c r="AD45" s="12">
        <v>0</v>
      </c>
      <c r="AE45" s="12">
        <v>1138.7</v>
      </c>
      <c r="AF45" s="12">
        <v>2091.8</v>
      </c>
      <c r="AG45" s="12">
        <f t="shared" si="26"/>
        <v>3230.5</v>
      </c>
      <c r="AH45" s="12">
        <f t="shared" si="27"/>
        <v>122956.6</v>
      </c>
      <c r="AI45" s="12">
        <v>63569.5</v>
      </c>
      <c r="AJ45" s="12">
        <v>47921.6</v>
      </c>
      <c r="AK45" s="12">
        <f>11467.5-2</f>
        <v>11465.5</v>
      </c>
      <c r="AL45" s="12">
        <f t="shared" si="28"/>
        <v>127498.8</v>
      </c>
      <c r="AM45" s="13">
        <f t="shared" si="29"/>
        <v>150134.80000000002</v>
      </c>
    </row>
    <row r="46" spans="1:39" ht="12.75">
      <c r="A46" s="16"/>
      <c r="B46" s="5"/>
      <c r="C46" s="12" t="s">
        <v>58</v>
      </c>
      <c r="D46" s="12">
        <v>0</v>
      </c>
      <c r="E46" s="12">
        <v>989.3</v>
      </c>
      <c r="F46" s="12">
        <v>286.6</v>
      </c>
      <c r="G46" s="12">
        <v>183.4</v>
      </c>
      <c r="H46" s="12">
        <v>148</v>
      </c>
      <c r="I46" s="12">
        <v>694.2</v>
      </c>
      <c r="J46" s="12">
        <v>458.8</v>
      </c>
      <c r="K46" s="12">
        <v>1789.7</v>
      </c>
      <c r="L46" s="12">
        <v>2918.7</v>
      </c>
      <c r="M46" s="12">
        <v>501.5</v>
      </c>
      <c r="N46" s="12">
        <v>17088.7</v>
      </c>
      <c r="O46" s="12">
        <v>1925</v>
      </c>
      <c r="P46" s="12">
        <v>182.2</v>
      </c>
      <c r="Q46" s="12">
        <v>370.3</v>
      </c>
      <c r="R46" s="12">
        <v>12745.5</v>
      </c>
      <c r="S46" s="12">
        <v>1613.4</v>
      </c>
      <c r="T46" s="12">
        <v>377.2</v>
      </c>
      <c r="U46" s="12">
        <v>478.9</v>
      </c>
      <c r="V46" s="12">
        <v>0</v>
      </c>
      <c r="W46" s="12">
        <v>72.39999999999986</v>
      </c>
      <c r="X46" s="12">
        <v>24.5</v>
      </c>
      <c r="Y46" s="12">
        <v>46.7</v>
      </c>
      <c r="Z46" s="12">
        <v>806.2</v>
      </c>
      <c r="AA46" s="12">
        <v>429.5</v>
      </c>
      <c r="AB46" s="12">
        <f t="shared" si="32"/>
        <v>44130.7</v>
      </c>
      <c r="AC46" s="12">
        <v>5719.3</v>
      </c>
      <c r="AD46" s="12">
        <v>0</v>
      </c>
      <c r="AE46" s="12">
        <f>33392-3000</f>
        <v>30392</v>
      </c>
      <c r="AF46" s="12">
        <v>0</v>
      </c>
      <c r="AG46" s="12">
        <f t="shared" si="26"/>
        <v>30392</v>
      </c>
      <c r="AH46" s="12">
        <f t="shared" si="27"/>
        <v>0</v>
      </c>
      <c r="AI46" s="12">
        <v>0</v>
      </c>
      <c r="AJ46" s="12">
        <v>0</v>
      </c>
      <c r="AK46" s="12">
        <v>0</v>
      </c>
      <c r="AL46" s="12">
        <f t="shared" si="28"/>
        <v>36111.3</v>
      </c>
      <c r="AM46" s="13">
        <f t="shared" si="29"/>
        <v>80242</v>
      </c>
    </row>
    <row r="47" spans="1:39" ht="12.75">
      <c r="A47" s="16"/>
      <c r="B47" s="5"/>
      <c r="C47" s="12" t="s">
        <v>59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394.1</v>
      </c>
      <c r="J47" s="12">
        <v>444.2</v>
      </c>
      <c r="K47" s="12">
        <v>450</v>
      </c>
      <c r="L47" s="12">
        <v>969.4</v>
      </c>
      <c r="M47" s="12">
        <v>257.1</v>
      </c>
      <c r="N47" s="12">
        <v>11694.1</v>
      </c>
      <c r="O47" s="12">
        <v>5763.1</v>
      </c>
      <c r="P47" s="12">
        <v>118.5</v>
      </c>
      <c r="Q47" s="12">
        <v>41.5</v>
      </c>
      <c r="R47" s="12">
        <v>151.2</v>
      </c>
      <c r="S47" s="12">
        <v>494.4</v>
      </c>
      <c r="T47" s="12">
        <v>0</v>
      </c>
      <c r="U47" s="12">
        <v>0</v>
      </c>
      <c r="V47" s="12">
        <v>0</v>
      </c>
      <c r="W47" s="12">
        <v>84.7</v>
      </c>
      <c r="X47" s="12">
        <v>0</v>
      </c>
      <c r="Y47" s="12">
        <v>0</v>
      </c>
      <c r="Z47" s="12">
        <v>11.6</v>
      </c>
      <c r="AA47" s="12">
        <v>333.9</v>
      </c>
      <c r="AB47" s="12">
        <f t="shared" si="32"/>
        <v>21207.800000000003</v>
      </c>
      <c r="AC47" s="12">
        <v>1717.9</v>
      </c>
      <c r="AD47" s="12">
        <v>0</v>
      </c>
      <c r="AE47" s="12">
        <f>15493.6+3000</f>
        <v>18493.6</v>
      </c>
      <c r="AF47" s="12">
        <v>0</v>
      </c>
      <c r="AG47" s="12">
        <f t="shared" si="26"/>
        <v>18493.6</v>
      </c>
      <c r="AH47" s="12">
        <f t="shared" si="27"/>
        <v>0</v>
      </c>
      <c r="AI47" s="12">
        <v>0</v>
      </c>
      <c r="AJ47" s="12">
        <v>0</v>
      </c>
      <c r="AK47" s="12">
        <v>0</v>
      </c>
      <c r="AL47" s="12">
        <f t="shared" si="28"/>
        <v>20211.5</v>
      </c>
      <c r="AM47" s="13">
        <f t="shared" si="29"/>
        <v>41419.3</v>
      </c>
    </row>
    <row r="48" spans="1:39" s="2" customFormat="1" ht="12.75">
      <c r="A48" s="16"/>
      <c r="B48" s="5"/>
      <c r="C48" s="6" t="s">
        <v>60</v>
      </c>
      <c r="D48" s="6">
        <f>SUM(D45:D47)</f>
        <v>3345.4</v>
      </c>
      <c r="E48" s="6">
        <f aca="true" t="shared" si="35" ref="E48:T48">SUM(E45:E47)</f>
        <v>1097.1</v>
      </c>
      <c r="F48" s="6">
        <f t="shared" si="35"/>
        <v>493.40000000000003</v>
      </c>
      <c r="G48" s="6">
        <f t="shared" si="35"/>
        <v>297.3</v>
      </c>
      <c r="H48" s="6">
        <f t="shared" si="35"/>
        <v>204.5</v>
      </c>
      <c r="I48" s="6">
        <f t="shared" si="35"/>
        <v>1134.6</v>
      </c>
      <c r="J48" s="6">
        <f t="shared" si="35"/>
        <v>998.7</v>
      </c>
      <c r="K48" s="6">
        <f t="shared" si="35"/>
        <v>2652</v>
      </c>
      <c r="L48" s="6">
        <f t="shared" si="35"/>
        <v>4770.799999999999</v>
      </c>
      <c r="M48" s="6">
        <f t="shared" si="35"/>
        <v>859.7</v>
      </c>
      <c r="N48" s="6">
        <f t="shared" si="35"/>
        <v>36739.4</v>
      </c>
      <c r="O48" s="6">
        <f t="shared" si="35"/>
        <v>12989.8</v>
      </c>
      <c r="P48" s="6">
        <f t="shared" si="35"/>
        <v>480.2</v>
      </c>
      <c r="Q48" s="6">
        <f t="shared" si="35"/>
        <v>465.40000000000003</v>
      </c>
      <c r="R48" s="6">
        <f t="shared" si="35"/>
        <v>14512.900000000001</v>
      </c>
      <c r="S48" s="6">
        <f t="shared" si="35"/>
        <v>2687.2000000000003</v>
      </c>
      <c r="T48" s="6">
        <f t="shared" si="35"/>
        <v>406.2</v>
      </c>
      <c r="U48" s="6">
        <f aca="true" t="shared" si="36" ref="U48:AB48">SUM(U45:U47)</f>
        <v>483.4</v>
      </c>
      <c r="V48" s="6">
        <f t="shared" si="36"/>
        <v>0</v>
      </c>
      <c r="W48" s="6">
        <f t="shared" si="36"/>
        <v>1412</v>
      </c>
      <c r="X48" s="6">
        <f t="shared" si="36"/>
        <v>24.5</v>
      </c>
      <c r="Y48" s="6">
        <f t="shared" si="36"/>
        <v>48</v>
      </c>
      <c r="Z48" s="6">
        <f>SUM(Z45:Z47)</f>
        <v>847.1</v>
      </c>
      <c r="AA48" s="6">
        <f t="shared" si="36"/>
        <v>1024.9</v>
      </c>
      <c r="AB48" s="6">
        <f t="shared" si="36"/>
        <v>87974.5</v>
      </c>
      <c r="AC48" s="6">
        <f>8747.6+1.3</f>
        <v>8748.9</v>
      </c>
      <c r="AD48" s="6">
        <v>0</v>
      </c>
      <c r="AE48" s="6">
        <v>50024.3</v>
      </c>
      <c r="AF48" s="6">
        <v>2091.8</v>
      </c>
      <c r="AG48" s="6">
        <f t="shared" si="26"/>
        <v>52116.100000000006</v>
      </c>
      <c r="AH48" s="6">
        <f t="shared" si="27"/>
        <v>122956.6</v>
      </c>
      <c r="AI48" s="6">
        <f>63569.5</f>
        <v>63569.5</v>
      </c>
      <c r="AJ48" s="6">
        <v>47921.6</v>
      </c>
      <c r="AK48" s="6">
        <f>SUM(AK45:AK47)</f>
        <v>11465.5</v>
      </c>
      <c r="AL48" s="6">
        <f t="shared" si="28"/>
        <v>183821.6</v>
      </c>
      <c r="AM48" s="13">
        <f t="shared" si="29"/>
        <v>271796.1</v>
      </c>
    </row>
    <row r="49" spans="1:39" ht="12.75">
      <c r="A49" s="15" t="s">
        <v>11</v>
      </c>
      <c r="B49" s="5" t="s">
        <v>35</v>
      </c>
      <c r="C49" s="12" t="s">
        <v>57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f>21049.4+13209.5</f>
        <v>34258.9</v>
      </c>
      <c r="P49" s="12">
        <v>0</v>
      </c>
      <c r="Q49" s="12">
        <v>0</v>
      </c>
      <c r="R49" s="12">
        <v>0</v>
      </c>
      <c r="S49" s="12">
        <v>112.2</v>
      </c>
      <c r="T49" s="12">
        <v>2.1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f t="shared" si="32"/>
        <v>34373.2</v>
      </c>
      <c r="AC49" s="12">
        <f>133.6+500+1000+1.7-1360.3</f>
        <v>275</v>
      </c>
      <c r="AD49" s="12">
        <v>0</v>
      </c>
      <c r="AE49" s="12">
        <f>101.4</f>
        <v>101.4</v>
      </c>
      <c r="AF49" s="12">
        <f>721.1+500</f>
        <v>1221.1</v>
      </c>
      <c r="AG49" s="12">
        <f t="shared" si="26"/>
        <v>1322.5</v>
      </c>
      <c r="AH49" s="12">
        <f t="shared" si="27"/>
        <v>161188.1</v>
      </c>
      <c r="AI49" s="12">
        <f>14864.3-500+934.9</f>
        <v>15299.199999999999</v>
      </c>
      <c r="AJ49" s="12">
        <f>94265.8-7000+6000+50505-18000+8186.1-2451</f>
        <v>131505.9</v>
      </c>
      <c r="AK49" s="12">
        <f>13504+879</f>
        <v>14383</v>
      </c>
      <c r="AL49" s="12">
        <f t="shared" si="28"/>
        <v>162785.6</v>
      </c>
      <c r="AM49" s="13">
        <f t="shared" si="29"/>
        <v>197158.8</v>
      </c>
    </row>
    <row r="50" spans="1:39" ht="12.75">
      <c r="A50" s="14"/>
      <c r="B50" s="5"/>
      <c r="C50" s="12" t="s">
        <v>58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f>24196.1+15184.4</f>
        <v>39380.5</v>
      </c>
      <c r="P50" s="12">
        <v>0</v>
      </c>
      <c r="Q50" s="12">
        <v>0</v>
      </c>
      <c r="R50" s="12">
        <v>0</v>
      </c>
      <c r="S50" s="12">
        <v>1462.9</v>
      </c>
      <c r="T50" s="12">
        <v>584</v>
      </c>
      <c r="U50" s="12">
        <v>0</v>
      </c>
      <c r="V50" s="12">
        <v>0</v>
      </c>
      <c r="W50" s="12">
        <v>32.3</v>
      </c>
      <c r="X50" s="12">
        <v>31.2</v>
      </c>
      <c r="Y50" s="12">
        <v>2.1</v>
      </c>
      <c r="Z50" s="12">
        <v>0</v>
      </c>
      <c r="AA50" s="12">
        <v>7.4</v>
      </c>
      <c r="AB50" s="12">
        <f t="shared" si="32"/>
        <v>41500.4</v>
      </c>
      <c r="AC50" s="12">
        <f>8455.2+5000-6000+1360.3+9000</f>
        <v>17815.5</v>
      </c>
      <c r="AD50" s="12">
        <v>0</v>
      </c>
      <c r="AE50" s="12">
        <f>3289.1-500+4000</f>
        <v>6789.1</v>
      </c>
      <c r="AF50" s="12">
        <v>0</v>
      </c>
      <c r="AG50" s="12">
        <f t="shared" si="26"/>
        <v>6789.1</v>
      </c>
      <c r="AH50" s="12">
        <f t="shared" si="27"/>
        <v>0</v>
      </c>
      <c r="AI50" s="12">
        <v>0</v>
      </c>
      <c r="AJ50" s="12">
        <v>0</v>
      </c>
      <c r="AK50" s="12">
        <v>0</v>
      </c>
      <c r="AL50" s="12">
        <f t="shared" si="28"/>
        <v>24604.6</v>
      </c>
      <c r="AM50" s="13">
        <f t="shared" si="29"/>
        <v>66105</v>
      </c>
    </row>
    <row r="51" spans="1:39" ht="12.75">
      <c r="A51" s="14"/>
      <c r="B51" s="5"/>
      <c r="C51" s="12" t="s">
        <v>59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f>15307.1+9606.1</f>
        <v>24913.2</v>
      </c>
      <c r="P51" s="12">
        <v>0</v>
      </c>
      <c r="Q51" s="12">
        <v>0</v>
      </c>
      <c r="R51" s="12">
        <v>0</v>
      </c>
      <c r="S51" s="12">
        <v>161.8</v>
      </c>
      <c r="T51" s="12">
        <v>57.9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f t="shared" si="32"/>
        <v>25132.9</v>
      </c>
      <c r="AC51" s="12">
        <f>1361.5+1000</f>
        <v>2361.5</v>
      </c>
      <c r="AD51" s="12">
        <v>0</v>
      </c>
      <c r="AE51" s="12">
        <f>1725.6+2000</f>
        <v>3725.6</v>
      </c>
      <c r="AF51" s="12">
        <v>0</v>
      </c>
      <c r="AG51" s="12">
        <f t="shared" si="26"/>
        <v>3725.6</v>
      </c>
      <c r="AH51" s="12">
        <f t="shared" si="27"/>
        <v>0</v>
      </c>
      <c r="AI51" s="12">
        <v>0</v>
      </c>
      <c r="AJ51" s="12">
        <v>0</v>
      </c>
      <c r="AK51" s="12">
        <v>0</v>
      </c>
      <c r="AL51" s="12">
        <f t="shared" si="28"/>
        <v>6087.1</v>
      </c>
      <c r="AM51" s="13">
        <f t="shared" si="29"/>
        <v>31220</v>
      </c>
    </row>
    <row r="52" spans="1:39" s="2" customFormat="1" ht="12.75">
      <c r="A52" s="14"/>
      <c r="B52" s="5"/>
      <c r="C52" s="6" t="s">
        <v>60</v>
      </c>
      <c r="D52" s="6">
        <f>SUM(D49:D51)</f>
        <v>0</v>
      </c>
      <c r="E52" s="6">
        <f aca="true" t="shared" si="37" ref="E52:T52">SUM(E49:E51)</f>
        <v>0</v>
      </c>
      <c r="F52" s="6">
        <f t="shared" si="37"/>
        <v>0</v>
      </c>
      <c r="G52" s="6">
        <f t="shared" si="37"/>
        <v>0</v>
      </c>
      <c r="H52" s="6">
        <f t="shared" si="37"/>
        <v>0</v>
      </c>
      <c r="I52" s="6">
        <f t="shared" si="37"/>
        <v>0</v>
      </c>
      <c r="J52" s="6">
        <f t="shared" si="37"/>
        <v>0</v>
      </c>
      <c r="K52" s="6">
        <f t="shared" si="37"/>
        <v>0</v>
      </c>
      <c r="L52" s="6">
        <f t="shared" si="37"/>
        <v>0</v>
      </c>
      <c r="M52" s="6">
        <f t="shared" si="37"/>
        <v>0</v>
      </c>
      <c r="N52" s="6">
        <f t="shared" si="37"/>
        <v>0</v>
      </c>
      <c r="O52" s="6">
        <f t="shared" si="37"/>
        <v>98552.59999999999</v>
      </c>
      <c r="P52" s="6">
        <f t="shared" si="37"/>
        <v>0</v>
      </c>
      <c r="Q52" s="6">
        <f t="shared" si="37"/>
        <v>0</v>
      </c>
      <c r="R52" s="6">
        <f t="shared" si="37"/>
        <v>0</v>
      </c>
      <c r="S52" s="6">
        <f t="shared" si="37"/>
        <v>1736.9</v>
      </c>
      <c r="T52" s="6">
        <f t="shared" si="37"/>
        <v>644</v>
      </c>
      <c r="U52" s="6">
        <f aca="true" t="shared" si="38" ref="U52:AB52">SUM(U49:U51)</f>
        <v>0</v>
      </c>
      <c r="V52" s="6">
        <f t="shared" si="38"/>
        <v>0</v>
      </c>
      <c r="W52" s="6">
        <f t="shared" si="38"/>
        <v>32.3</v>
      </c>
      <c r="X52" s="6">
        <f t="shared" si="38"/>
        <v>31.2</v>
      </c>
      <c r="Y52" s="6">
        <f t="shared" si="38"/>
        <v>2.1</v>
      </c>
      <c r="Z52" s="6">
        <v>0</v>
      </c>
      <c r="AA52" s="6">
        <f t="shared" si="38"/>
        <v>7.4</v>
      </c>
      <c r="AB52" s="6">
        <f t="shared" si="38"/>
        <v>101006.5</v>
      </c>
      <c r="AC52" s="6">
        <f>SUM(AC49:AC51)</f>
        <v>20452</v>
      </c>
      <c r="AD52" s="6">
        <v>0</v>
      </c>
      <c r="AE52" s="6">
        <f>SUM(AE49:AE51)</f>
        <v>10616.1</v>
      </c>
      <c r="AF52" s="6">
        <f>SUM(AF49:AF51)</f>
        <v>1221.1</v>
      </c>
      <c r="AG52" s="6">
        <f t="shared" si="26"/>
        <v>11837.2</v>
      </c>
      <c r="AH52" s="6">
        <f t="shared" si="27"/>
        <v>161188.1</v>
      </c>
      <c r="AI52" s="6">
        <f>SUM(AI49:AI51)</f>
        <v>15299.199999999999</v>
      </c>
      <c r="AJ52" s="6">
        <f>SUM(AJ49:AJ51)</f>
        <v>131505.9</v>
      </c>
      <c r="AK52" s="6">
        <f>SUM(AK49:AK51)</f>
        <v>14383</v>
      </c>
      <c r="AL52" s="6">
        <f t="shared" si="28"/>
        <v>193477.30000000002</v>
      </c>
      <c r="AM52" s="13">
        <f t="shared" si="29"/>
        <v>294483.80000000005</v>
      </c>
    </row>
    <row r="53" spans="1:39" ht="12.75">
      <c r="A53" s="15" t="s">
        <v>12</v>
      </c>
      <c r="B53" s="5" t="s">
        <v>67</v>
      </c>
      <c r="C53" s="12" t="s">
        <v>57</v>
      </c>
      <c r="D53" s="12">
        <v>11.3</v>
      </c>
      <c r="E53" s="12">
        <v>211.4</v>
      </c>
      <c r="F53" s="12">
        <v>22.1</v>
      </c>
      <c r="G53" s="12">
        <v>91.1</v>
      </c>
      <c r="H53" s="12">
        <v>2.4</v>
      </c>
      <c r="I53" s="12">
        <v>189.6</v>
      </c>
      <c r="J53" s="12">
        <v>0</v>
      </c>
      <c r="K53" s="12">
        <v>34.2</v>
      </c>
      <c r="L53" s="12">
        <v>333.1</v>
      </c>
      <c r="M53" s="12">
        <v>0</v>
      </c>
      <c r="N53" s="12">
        <v>394.6</v>
      </c>
      <c r="O53" s="12">
        <v>4205.8</v>
      </c>
      <c r="P53" s="12">
        <v>2760.3</v>
      </c>
      <c r="Q53" s="12">
        <v>1.9</v>
      </c>
      <c r="R53" s="12">
        <v>1451.5</v>
      </c>
      <c r="S53" s="12">
        <v>58.6</v>
      </c>
      <c r="T53" s="12">
        <v>35</v>
      </c>
      <c r="U53" s="12">
        <v>19.6</v>
      </c>
      <c r="V53" s="12">
        <v>0</v>
      </c>
      <c r="W53" s="12">
        <v>30</v>
      </c>
      <c r="X53" s="12">
        <v>32.5</v>
      </c>
      <c r="Y53" s="12">
        <v>1.4</v>
      </c>
      <c r="Z53" s="12">
        <v>49.7</v>
      </c>
      <c r="AA53" s="12">
        <v>115</v>
      </c>
      <c r="AB53" s="12">
        <f t="shared" si="32"/>
        <v>10051.100000000002</v>
      </c>
      <c r="AC53" s="12">
        <f>4059.8+500-1000+7.5-700+500</f>
        <v>3367.3</v>
      </c>
      <c r="AD53" s="12">
        <v>0</v>
      </c>
      <c r="AE53" s="12">
        <f>2199.2+700-500</f>
        <v>2399.2</v>
      </c>
      <c r="AF53" s="12">
        <v>513.5</v>
      </c>
      <c r="AG53" s="12">
        <f t="shared" si="26"/>
        <v>2912.7</v>
      </c>
      <c r="AH53" s="12">
        <f t="shared" si="27"/>
        <v>31655.1</v>
      </c>
      <c r="AI53" s="12">
        <f>22918.5+3000-1000-1000</f>
        <v>23918.5</v>
      </c>
      <c r="AJ53" s="12">
        <f>6699.8-500</f>
        <v>6199.8</v>
      </c>
      <c r="AK53" s="12">
        <f>2036.8-500</f>
        <v>1536.8</v>
      </c>
      <c r="AL53" s="12">
        <f t="shared" si="28"/>
        <v>37935.1</v>
      </c>
      <c r="AM53" s="13">
        <f t="shared" si="29"/>
        <v>47986.2</v>
      </c>
    </row>
    <row r="54" spans="1:39" ht="12.75">
      <c r="A54" s="16"/>
      <c r="B54" s="5"/>
      <c r="C54" s="12" t="s">
        <v>58</v>
      </c>
      <c r="D54" s="12">
        <v>0</v>
      </c>
      <c r="E54" s="12">
        <v>98.4</v>
      </c>
      <c r="F54" s="12">
        <v>6.1</v>
      </c>
      <c r="G54" s="12">
        <v>47.6</v>
      </c>
      <c r="H54" s="12">
        <v>28.5</v>
      </c>
      <c r="I54" s="12">
        <v>71.6</v>
      </c>
      <c r="J54" s="12">
        <v>0</v>
      </c>
      <c r="K54" s="12">
        <v>0</v>
      </c>
      <c r="L54" s="12">
        <v>1858.3</v>
      </c>
      <c r="M54" s="12">
        <v>60.7</v>
      </c>
      <c r="N54" s="12">
        <v>18.3</v>
      </c>
      <c r="O54" s="12">
        <v>0</v>
      </c>
      <c r="P54" s="12">
        <v>7566</v>
      </c>
      <c r="Q54" s="12">
        <v>5.8</v>
      </c>
      <c r="R54" s="12">
        <v>662.3</v>
      </c>
      <c r="S54" s="12">
        <v>53.9</v>
      </c>
      <c r="T54" s="12">
        <v>2.2</v>
      </c>
      <c r="U54" s="12">
        <v>38.9</v>
      </c>
      <c r="V54" s="12">
        <v>0</v>
      </c>
      <c r="W54" s="12">
        <v>23.6</v>
      </c>
      <c r="X54" s="12">
        <v>108</v>
      </c>
      <c r="Y54" s="12">
        <v>0.9</v>
      </c>
      <c r="Z54" s="12">
        <v>91.5</v>
      </c>
      <c r="AA54" s="12">
        <v>18</v>
      </c>
      <c r="AB54" s="12">
        <f t="shared" si="32"/>
        <v>10760.599999999999</v>
      </c>
      <c r="AC54" s="12">
        <f>8132.1-500-2000+1000-700+1000</f>
        <v>6932.1</v>
      </c>
      <c r="AD54" s="12">
        <v>0</v>
      </c>
      <c r="AE54" s="12">
        <f>2308.8+700-1000</f>
        <v>2008.8000000000002</v>
      </c>
      <c r="AF54" s="12">
        <v>0</v>
      </c>
      <c r="AG54" s="12">
        <f aca="true" t="shared" si="39" ref="AG54:AG69">AE54+AF54</f>
        <v>2008.8000000000002</v>
      </c>
      <c r="AH54" s="12">
        <f aca="true" t="shared" si="40" ref="AH54:AH69">AI54+AJ54+AK54</f>
        <v>0</v>
      </c>
      <c r="AI54" s="12">
        <v>0</v>
      </c>
      <c r="AJ54" s="12">
        <v>0</v>
      </c>
      <c r="AK54" s="12">
        <v>0</v>
      </c>
      <c r="AL54" s="12">
        <f aca="true" t="shared" si="41" ref="AL54:AL69">AH54+AG54+AD54+AC54</f>
        <v>8940.900000000001</v>
      </c>
      <c r="AM54" s="13">
        <f aca="true" t="shared" si="42" ref="AM54:AM69">AL54+AB54</f>
        <v>19701.5</v>
      </c>
    </row>
    <row r="55" spans="1:39" ht="12.75">
      <c r="A55" s="16"/>
      <c r="B55" s="5"/>
      <c r="C55" s="12" t="s">
        <v>59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309</v>
      </c>
      <c r="M55" s="12">
        <v>0</v>
      </c>
      <c r="N55" s="12">
        <v>0</v>
      </c>
      <c r="O55" s="12">
        <v>0</v>
      </c>
      <c r="P55" s="12">
        <v>1230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f t="shared" si="32"/>
        <v>1539</v>
      </c>
      <c r="AC55" s="12">
        <f>1094.5</f>
        <v>1094.5</v>
      </c>
      <c r="AD55" s="12">
        <v>0</v>
      </c>
      <c r="AE55" s="12">
        <f>374.3+200-200</f>
        <v>374.29999999999995</v>
      </c>
      <c r="AF55" s="12">
        <v>0</v>
      </c>
      <c r="AG55" s="12">
        <f t="shared" si="39"/>
        <v>374.29999999999995</v>
      </c>
      <c r="AH55" s="12">
        <f t="shared" si="40"/>
        <v>0</v>
      </c>
      <c r="AI55" s="12">
        <v>0</v>
      </c>
      <c r="AJ55" s="12">
        <v>0</v>
      </c>
      <c r="AK55" s="12">
        <v>0</v>
      </c>
      <c r="AL55" s="12">
        <f t="shared" si="41"/>
        <v>1468.8</v>
      </c>
      <c r="AM55" s="13">
        <f t="shared" si="42"/>
        <v>3007.8</v>
      </c>
    </row>
    <row r="56" spans="1:39" s="2" customFormat="1" ht="12.75">
      <c r="A56" s="16"/>
      <c r="B56" s="5"/>
      <c r="C56" s="6" t="s">
        <v>60</v>
      </c>
      <c r="D56" s="6">
        <f aca="true" t="shared" si="43" ref="D56:S56">SUM(D53:D55)</f>
        <v>11.3</v>
      </c>
      <c r="E56" s="6">
        <f t="shared" si="43"/>
        <v>309.8</v>
      </c>
      <c r="F56" s="6">
        <f t="shared" si="43"/>
        <v>28.200000000000003</v>
      </c>
      <c r="G56" s="6">
        <f t="shared" si="43"/>
        <v>138.7</v>
      </c>
      <c r="H56" s="6">
        <f t="shared" si="43"/>
        <v>30.9</v>
      </c>
      <c r="I56" s="6">
        <f t="shared" si="43"/>
        <v>261.2</v>
      </c>
      <c r="J56" s="6">
        <f t="shared" si="43"/>
        <v>0</v>
      </c>
      <c r="K56" s="6">
        <f t="shared" si="43"/>
        <v>34.2</v>
      </c>
      <c r="L56" s="6">
        <f t="shared" si="43"/>
        <v>2500.4</v>
      </c>
      <c r="M56" s="6">
        <f t="shared" si="43"/>
        <v>60.7</v>
      </c>
      <c r="N56" s="6">
        <f t="shared" si="43"/>
        <v>412.90000000000003</v>
      </c>
      <c r="O56" s="6">
        <f t="shared" si="43"/>
        <v>4205.8</v>
      </c>
      <c r="P56" s="6">
        <f t="shared" si="43"/>
        <v>11556.3</v>
      </c>
      <c r="Q56" s="6">
        <f t="shared" si="43"/>
        <v>7.699999999999999</v>
      </c>
      <c r="R56" s="6">
        <f t="shared" si="43"/>
        <v>2113.8</v>
      </c>
      <c r="S56" s="6">
        <f t="shared" si="43"/>
        <v>112.5</v>
      </c>
      <c r="T56" s="6">
        <f aca="true" t="shared" si="44" ref="T56:AB56">SUM(T53:T55)</f>
        <v>37.2</v>
      </c>
      <c r="U56" s="6">
        <f t="shared" si="44"/>
        <v>58.5</v>
      </c>
      <c r="V56" s="6">
        <f t="shared" si="44"/>
        <v>0</v>
      </c>
      <c r="W56" s="6">
        <f t="shared" si="44"/>
        <v>53.6</v>
      </c>
      <c r="X56" s="6">
        <f t="shared" si="44"/>
        <v>140.5</v>
      </c>
      <c r="Y56" s="6">
        <f t="shared" si="44"/>
        <v>2.3</v>
      </c>
      <c r="Z56" s="6">
        <f>SUM(Z53:Z55)</f>
        <v>141.2</v>
      </c>
      <c r="AA56" s="6">
        <f t="shared" si="44"/>
        <v>133</v>
      </c>
      <c r="AB56" s="6">
        <f t="shared" si="44"/>
        <v>22350.7</v>
      </c>
      <c r="AC56" s="6">
        <f>SUM(AC53:AC55)</f>
        <v>11393.900000000001</v>
      </c>
      <c r="AD56" s="6">
        <v>0</v>
      </c>
      <c r="AE56" s="6">
        <f>SUM(AE53:AE55)</f>
        <v>4782.3</v>
      </c>
      <c r="AF56" s="6">
        <v>513.5</v>
      </c>
      <c r="AG56" s="6">
        <f t="shared" si="39"/>
        <v>5295.8</v>
      </c>
      <c r="AH56" s="6">
        <f t="shared" si="40"/>
        <v>31655.1</v>
      </c>
      <c r="AI56" s="6">
        <f>SUM(AI53:AI55)</f>
        <v>23918.5</v>
      </c>
      <c r="AJ56" s="6">
        <f>SUM(AJ53:AJ55)</f>
        <v>6199.8</v>
      </c>
      <c r="AK56" s="6">
        <f>SUM(AK53:AK55)</f>
        <v>1536.8</v>
      </c>
      <c r="AL56" s="6">
        <f t="shared" si="41"/>
        <v>48344.8</v>
      </c>
      <c r="AM56" s="13">
        <f t="shared" si="42"/>
        <v>70695.5</v>
      </c>
    </row>
    <row r="57" spans="1:39" ht="12.75">
      <c r="A57" s="15" t="s">
        <v>13</v>
      </c>
      <c r="B57" s="5" t="s">
        <v>37</v>
      </c>
      <c r="C57" s="12" t="s">
        <v>57</v>
      </c>
      <c r="D57" s="12">
        <v>887.4</v>
      </c>
      <c r="E57" s="12">
        <f>940.8-61.9</f>
        <v>878.9</v>
      </c>
      <c r="F57" s="12">
        <v>299.4</v>
      </c>
      <c r="G57" s="12">
        <v>178.2</v>
      </c>
      <c r="H57" s="12">
        <v>252.2</v>
      </c>
      <c r="I57" s="12">
        <v>916.4</v>
      </c>
      <c r="J57" s="12">
        <v>651.1</v>
      </c>
      <c r="K57" s="12">
        <v>1133.9</v>
      </c>
      <c r="L57" s="12">
        <v>1647.9</v>
      </c>
      <c r="M57" s="12">
        <v>338.9</v>
      </c>
      <c r="N57" s="12">
        <v>682.9</v>
      </c>
      <c r="O57" s="12">
        <v>673.8</v>
      </c>
      <c r="P57" s="12">
        <v>375.4</v>
      </c>
      <c r="Q57" s="12">
        <v>60.9</v>
      </c>
      <c r="R57" s="12">
        <v>459.4</v>
      </c>
      <c r="S57" s="12">
        <v>2133.3</v>
      </c>
      <c r="T57" s="12">
        <v>570.6</v>
      </c>
      <c r="U57" s="12">
        <v>298.7</v>
      </c>
      <c r="V57" s="12">
        <v>0</v>
      </c>
      <c r="W57" s="12">
        <v>286.7</v>
      </c>
      <c r="X57" s="12">
        <v>1314.9</v>
      </c>
      <c r="Y57" s="12">
        <v>299</v>
      </c>
      <c r="Z57" s="12">
        <v>242.5</v>
      </c>
      <c r="AA57" s="12">
        <v>759.2</v>
      </c>
      <c r="AB57" s="12">
        <f aca="true" t="shared" si="45" ref="AB57:AB71">SUM(D57:AA57)</f>
        <v>15341.599999999999</v>
      </c>
      <c r="AC57" s="12">
        <f>10780.9+103.8+147</f>
        <v>11031.699999999999</v>
      </c>
      <c r="AD57" s="12">
        <v>0</v>
      </c>
      <c r="AE57" s="12">
        <v>0</v>
      </c>
      <c r="AF57" s="12">
        <v>0</v>
      </c>
      <c r="AG57" s="12">
        <f t="shared" si="39"/>
        <v>0</v>
      </c>
      <c r="AH57" s="12">
        <f t="shared" si="40"/>
        <v>0</v>
      </c>
      <c r="AI57" s="12">
        <v>0</v>
      </c>
      <c r="AJ57" s="12">
        <v>0</v>
      </c>
      <c r="AK57" s="12">
        <v>0</v>
      </c>
      <c r="AL57" s="12">
        <f t="shared" si="41"/>
        <v>11031.699999999999</v>
      </c>
      <c r="AM57" s="13">
        <f t="shared" si="42"/>
        <v>26373.299999999996</v>
      </c>
    </row>
    <row r="58" spans="1:39" ht="12.75">
      <c r="A58" s="16"/>
      <c r="B58" s="5"/>
      <c r="C58" s="12" t="s">
        <v>58</v>
      </c>
      <c r="D58" s="12">
        <v>1521.6</v>
      </c>
      <c r="E58" s="12">
        <f>1085.5-71.4</f>
        <v>1014.1</v>
      </c>
      <c r="F58" s="12">
        <v>301.1</v>
      </c>
      <c r="G58" s="12">
        <v>101.1</v>
      </c>
      <c r="H58" s="12">
        <v>319.2</v>
      </c>
      <c r="I58" s="12">
        <v>830.3</v>
      </c>
      <c r="J58" s="12">
        <v>4336.7</v>
      </c>
      <c r="K58" s="12">
        <v>1954.3</v>
      </c>
      <c r="L58" s="12">
        <v>865.7</v>
      </c>
      <c r="M58" s="12">
        <v>282.2</v>
      </c>
      <c r="N58" s="12">
        <v>613.7</v>
      </c>
      <c r="O58" s="12">
        <v>473.3</v>
      </c>
      <c r="P58" s="12">
        <v>286.4</v>
      </c>
      <c r="Q58" s="12">
        <v>33.7</v>
      </c>
      <c r="R58" s="12">
        <v>1152.2</v>
      </c>
      <c r="S58" s="12">
        <v>1633.6</v>
      </c>
      <c r="T58" s="12">
        <v>6323.4</v>
      </c>
      <c r="U58" s="12">
        <v>212.3</v>
      </c>
      <c r="V58" s="12">
        <v>0</v>
      </c>
      <c r="W58" s="12">
        <v>3681.1</v>
      </c>
      <c r="X58" s="12">
        <v>596.7</v>
      </c>
      <c r="Y58" s="12">
        <v>396</v>
      </c>
      <c r="Z58" s="12">
        <v>524.6</v>
      </c>
      <c r="AA58" s="12">
        <v>581</v>
      </c>
      <c r="AB58" s="12">
        <f t="shared" si="45"/>
        <v>28034.299999999996</v>
      </c>
      <c r="AC58" s="12">
        <v>18782</v>
      </c>
      <c r="AD58" s="12">
        <v>0</v>
      </c>
      <c r="AE58" s="12">
        <v>0</v>
      </c>
      <c r="AF58" s="12">
        <v>0</v>
      </c>
      <c r="AG58" s="12">
        <f t="shared" si="39"/>
        <v>0</v>
      </c>
      <c r="AH58" s="12">
        <f t="shared" si="40"/>
        <v>0</v>
      </c>
      <c r="AI58" s="12">
        <v>0</v>
      </c>
      <c r="AJ58" s="12">
        <v>0</v>
      </c>
      <c r="AK58" s="12">
        <v>0</v>
      </c>
      <c r="AL58" s="12">
        <f t="shared" si="41"/>
        <v>18782</v>
      </c>
      <c r="AM58" s="13">
        <f t="shared" si="42"/>
        <v>46816.299999999996</v>
      </c>
    </row>
    <row r="59" spans="1:39" ht="12.75">
      <c r="A59" s="16"/>
      <c r="B59" s="5"/>
      <c r="C59" s="12" t="s">
        <v>59</v>
      </c>
      <c r="D59" s="12">
        <v>0.3</v>
      </c>
      <c r="E59" s="12">
        <f>207.3-13.7</f>
        <v>193.60000000000002</v>
      </c>
      <c r="F59" s="12">
        <v>0</v>
      </c>
      <c r="G59" s="12">
        <v>57.6</v>
      </c>
      <c r="H59" s="12">
        <v>61.3</v>
      </c>
      <c r="I59" s="12">
        <v>453.2</v>
      </c>
      <c r="J59" s="12">
        <v>438.9</v>
      </c>
      <c r="K59" s="12">
        <v>1462.9</v>
      </c>
      <c r="L59" s="12">
        <v>625.4</v>
      </c>
      <c r="M59" s="12">
        <v>67.2</v>
      </c>
      <c r="N59" s="12">
        <v>60.3</v>
      </c>
      <c r="O59" s="12">
        <v>264.4</v>
      </c>
      <c r="P59" s="12">
        <v>22</v>
      </c>
      <c r="Q59" s="12">
        <v>0</v>
      </c>
      <c r="R59" s="12">
        <v>1.8</v>
      </c>
      <c r="S59" s="12">
        <v>29.2</v>
      </c>
      <c r="T59" s="12">
        <v>0</v>
      </c>
      <c r="U59" s="12">
        <v>0</v>
      </c>
      <c r="V59" s="12">
        <v>0</v>
      </c>
      <c r="W59" s="12">
        <v>7.1</v>
      </c>
      <c r="X59" s="12">
        <v>28.6</v>
      </c>
      <c r="Y59" s="12">
        <v>16.5</v>
      </c>
      <c r="Z59" s="12">
        <v>3.9</v>
      </c>
      <c r="AA59" s="12">
        <v>3.9</v>
      </c>
      <c r="AB59" s="12">
        <f t="shared" si="45"/>
        <v>3798.1000000000004</v>
      </c>
      <c r="AC59" s="12">
        <v>438.5</v>
      </c>
      <c r="AD59" s="12">
        <v>0</v>
      </c>
      <c r="AE59" s="12">
        <v>0</v>
      </c>
      <c r="AF59" s="12">
        <v>0</v>
      </c>
      <c r="AG59" s="12">
        <f t="shared" si="39"/>
        <v>0</v>
      </c>
      <c r="AH59" s="12">
        <f t="shared" si="40"/>
        <v>0</v>
      </c>
      <c r="AI59" s="12">
        <v>0</v>
      </c>
      <c r="AJ59" s="12">
        <v>0</v>
      </c>
      <c r="AK59" s="12">
        <v>0</v>
      </c>
      <c r="AL59" s="12">
        <f t="shared" si="41"/>
        <v>438.5</v>
      </c>
      <c r="AM59" s="13">
        <f t="shared" si="42"/>
        <v>4236.6</v>
      </c>
    </row>
    <row r="60" spans="1:39" s="2" customFormat="1" ht="12.75">
      <c r="A60" s="16"/>
      <c r="B60" s="5"/>
      <c r="C60" s="6" t="s">
        <v>60</v>
      </c>
      <c r="D60" s="6">
        <f>SUM(D57:D59)</f>
        <v>2409.3</v>
      </c>
      <c r="E60" s="6">
        <f aca="true" t="shared" si="46" ref="E60:T60">SUM(E57:E59)</f>
        <v>2086.6</v>
      </c>
      <c r="F60" s="6">
        <f t="shared" si="46"/>
        <v>600.5</v>
      </c>
      <c r="G60" s="6">
        <f t="shared" si="46"/>
        <v>336.9</v>
      </c>
      <c r="H60" s="6">
        <f t="shared" si="46"/>
        <v>632.6999999999999</v>
      </c>
      <c r="I60" s="6">
        <f t="shared" si="46"/>
        <v>2199.8999999999996</v>
      </c>
      <c r="J60" s="6">
        <f t="shared" si="46"/>
        <v>5426.7</v>
      </c>
      <c r="K60" s="6">
        <f t="shared" si="46"/>
        <v>4551.1</v>
      </c>
      <c r="L60" s="6">
        <f t="shared" si="46"/>
        <v>3139.0000000000005</v>
      </c>
      <c r="M60" s="6">
        <f t="shared" si="46"/>
        <v>688.3</v>
      </c>
      <c r="N60" s="6">
        <f t="shared" si="46"/>
        <v>1356.8999999999999</v>
      </c>
      <c r="O60" s="6">
        <f t="shared" si="46"/>
        <v>1411.5</v>
      </c>
      <c r="P60" s="6">
        <f t="shared" si="46"/>
        <v>683.8</v>
      </c>
      <c r="Q60" s="6">
        <f t="shared" si="46"/>
        <v>94.6</v>
      </c>
      <c r="R60" s="6">
        <f t="shared" si="46"/>
        <v>1613.3999999999999</v>
      </c>
      <c r="S60" s="6">
        <f t="shared" si="46"/>
        <v>3796.1</v>
      </c>
      <c r="T60" s="6">
        <f t="shared" si="46"/>
        <v>6894</v>
      </c>
      <c r="U60" s="6">
        <f aca="true" t="shared" si="47" ref="U60:AB60">SUM(U57:U59)</f>
        <v>511</v>
      </c>
      <c r="V60" s="6">
        <f t="shared" si="47"/>
        <v>0</v>
      </c>
      <c r="W60" s="6">
        <f t="shared" si="47"/>
        <v>3974.8999999999996</v>
      </c>
      <c r="X60" s="6">
        <f t="shared" si="47"/>
        <v>1940.2</v>
      </c>
      <c r="Y60" s="6">
        <f t="shared" si="47"/>
        <v>711.5</v>
      </c>
      <c r="Z60" s="6">
        <f>SUM(Z57:Z59)</f>
        <v>771</v>
      </c>
      <c r="AA60" s="6">
        <f t="shared" si="47"/>
        <v>1344.1000000000001</v>
      </c>
      <c r="AB60" s="6">
        <f t="shared" si="47"/>
        <v>47173.99999999999</v>
      </c>
      <c r="AC60" s="6">
        <f>SUM(AC57:AC59)</f>
        <v>30252.199999999997</v>
      </c>
      <c r="AD60" s="6">
        <v>0</v>
      </c>
      <c r="AE60" s="6">
        <v>0</v>
      </c>
      <c r="AF60" s="6">
        <v>0</v>
      </c>
      <c r="AG60" s="6">
        <f t="shared" si="39"/>
        <v>0</v>
      </c>
      <c r="AH60" s="6">
        <f t="shared" si="40"/>
        <v>0</v>
      </c>
      <c r="AI60" s="6">
        <v>0</v>
      </c>
      <c r="AJ60" s="6">
        <v>0</v>
      </c>
      <c r="AK60" s="6">
        <v>0</v>
      </c>
      <c r="AL60" s="6">
        <f t="shared" si="41"/>
        <v>30252.199999999997</v>
      </c>
      <c r="AM60" s="13">
        <f t="shared" si="42"/>
        <v>77426.19999999998</v>
      </c>
    </row>
    <row r="61" spans="1:39" ht="12.75">
      <c r="A61" s="15" t="s">
        <v>14</v>
      </c>
      <c r="B61" s="5" t="s">
        <v>38</v>
      </c>
      <c r="C61" s="12" t="s">
        <v>57</v>
      </c>
      <c r="D61" s="12">
        <v>1501.9</v>
      </c>
      <c r="E61" s="12">
        <v>386.9</v>
      </c>
      <c r="F61" s="12">
        <v>122.4</v>
      </c>
      <c r="G61" s="12">
        <v>61.9</v>
      </c>
      <c r="H61" s="12">
        <v>23.5</v>
      </c>
      <c r="I61" s="12">
        <v>87.4</v>
      </c>
      <c r="J61" s="12">
        <v>190.6</v>
      </c>
      <c r="K61" s="12">
        <v>444.1</v>
      </c>
      <c r="L61" s="12">
        <v>376.7</v>
      </c>
      <c r="M61" s="12">
        <v>73.5</v>
      </c>
      <c r="N61" s="12">
        <v>121.3</v>
      </c>
      <c r="O61" s="12">
        <v>441.4</v>
      </c>
      <c r="P61" s="12">
        <v>326.6</v>
      </c>
      <c r="Q61" s="12">
        <v>1045.9</v>
      </c>
      <c r="R61" s="12">
        <v>18.7</v>
      </c>
      <c r="S61" s="12">
        <v>3579.6</v>
      </c>
      <c r="T61" s="12">
        <v>1238.5</v>
      </c>
      <c r="U61" s="12">
        <v>1814.2</v>
      </c>
      <c r="V61" s="12">
        <v>0</v>
      </c>
      <c r="W61" s="12">
        <v>8982.1</v>
      </c>
      <c r="X61" s="12">
        <v>1145.6</v>
      </c>
      <c r="Y61" s="12">
        <v>479.1</v>
      </c>
      <c r="Z61" s="12">
        <v>306.5</v>
      </c>
      <c r="AA61" s="12">
        <v>920.6</v>
      </c>
      <c r="AB61" s="12">
        <f t="shared" si="45"/>
        <v>23688.999999999996</v>
      </c>
      <c r="AC61" s="12">
        <f>2690.5+61.3</f>
        <v>2751.8</v>
      </c>
      <c r="AD61" s="12">
        <v>0</v>
      </c>
      <c r="AE61" s="12">
        <v>121981.1</v>
      </c>
      <c r="AF61" s="12">
        <v>0</v>
      </c>
      <c r="AG61" s="12">
        <f t="shared" si="39"/>
        <v>121981.1</v>
      </c>
      <c r="AH61" s="12">
        <f t="shared" si="40"/>
        <v>0</v>
      </c>
      <c r="AI61" s="12">
        <v>0</v>
      </c>
      <c r="AJ61" s="12">
        <v>0</v>
      </c>
      <c r="AK61" s="12">
        <v>0</v>
      </c>
      <c r="AL61" s="12">
        <f t="shared" si="41"/>
        <v>124732.90000000001</v>
      </c>
      <c r="AM61" s="13">
        <f t="shared" si="42"/>
        <v>148421.9</v>
      </c>
    </row>
    <row r="62" spans="1:39" ht="12.75">
      <c r="A62" s="16"/>
      <c r="B62" s="5"/>
      <c r="C62" s="12" t="s">
        <v>58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f t="shared" si="45"/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f t="shared" si="39"/>
        <v>0</v>
      </c>
      <c r="AH62" s="12">
        <f t="shared" si="40"/>
        <v>0</v>
      </c>
      <c r="AI62" s="12">
        <v>0</v>
      </c>
      <c r="AJ62" s="12">
        <v>0</v>
      </c>
      <c r="AK62" s="12">
        <v>0</v>
      </c>
      <c r="AL62" s="12">
        <f t="shared" si="41"/>
        <v>0</v>
      </c>
      <c r="AM62" s="13">
        <f t="shared" si="42"/>
        <v>0</v>
      </c>
    </row>
    <row r="63" spans="1:39" ht="12.75">
      <c r="A63" s="16"/>
      <c r="B63" s="5"/>
      <c r="C63" s="12" t="s">
        <v>59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f t="shared" si="45"/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f t="shared" si="39"/>
        <v>0</v>
      </c>
      <c r="AH63" s="12">
        <f t="shared" si="40"/>
        <v>0</v>
      </c>
      <c r="AI63" s="12">
        <v>0</v>
      </c>
      <c r="AJ63" s="12">
        <v>0</v>
      </c>
      <c r="AK63" s="12">
        <v>0</v>
      </c>
      <c r="AL63" s="12">
        <f t="shared" si="41"/>
        <v>0</v>
      </c>
      <c r="AM63" s="13">
        <f t="shared" si="42"/>
        <v>0</v>
      </c>
    </row>
    <row r="64" spans="1:39" s="2" customFormat="1" ht="12.75">
      <c r="A64" s="16"/>
      <c r="B64" s="5"/>
      <c r="C64" s="6" t="s">
        <v>60</v>
      </c>
      <c r="D64" s="6">
        <f>SUM(D61:D63)</f>
        <v>1501.9</v>
      </c>
      <c r="E64" s="6">
        <f aca="true" t="shared" si="48" ref="E64:T64">SUM(E61:E63)</f>
        <v>386.9</v>
      </c>
      <c r="F64" s="6">
        <f t="shared" si="48"/>
        <v>122.4</v>
      </c>
      <c r="G64" s="6">
        <f t="shared" si="48"/>
        <v>61.9</v>
      </c>
      <c r="H64" s="6">
        <f t="shared" si="48"/>
        <v>23.5</v>
      </c>
      <c r="I64" s="6">
        <f t="shared" si="48"/>
        <v>87.4</v>
      </c>
      <c r="J64" s="6">
        <f t="shared" si="48"/>
        <v>190.6</v>
      </c>
      <c r="K64" s="6">
        <f t="shared" si="48"/>
        <v>444.1</v>
      </c>
      <c r="L64" s="6">
        <f t="shared" si="48"/>
        <v>376.7</v>
      </c>
      <c r="M64" s="6">
        <f t="shared" si="48"/>
        <v>73.5</v>
      </c>
      <c r="N64" s="6">
        <f t="shared" si="48"/>
        <v>121.3</v>
      </c>
      <c r="O64" s="6">
        <f t="shared" si="48"/>
        <v>441.4</v>
      </c>
      <c r="P64" s="6">
        <f t="shared" si="48"/>
        <v>326.6</v>
      </c>
      <c r="Q64" s="6">
        <f t="shared" si="48"/>
        <v>1045.9</v>
      </c>
      <c r="R64" s="6">
        <f t="shared" si="48"/>
        <v>18.7</v>
      </c>
      <c r="S64" s="6">
        <f t="shared" si="48"/>
        <v>3579.6</v>
      </c>
      <c r="T64" s="6">
        <f t="shared" si="48"/>
        <v>1238.5</v>
      </c>
      <c r="U64" s="6">
        <f aca="true" t="shared" si="49" ref="U64:AB64">SUM(U61:U63)</f>
        <v>1814.2</v>
      </c>
      <c r="V64" s="6">
        <f t="shared" si="49"/>
        <v>0</v>
      </c>
      <c r="W64" s="6">
        <f t="shared" si="49"/>
        <v>8982.1</v>
      </c>
      <c r="X64" s="6">
        <f t="shared" si="49"/>
        <v>1145.6</v>
      </c>
      <c r="Y64" s="6">
        <f t="shared" si="49"/>
        <v>479.1</v>
      </c>
      <c r="Z64" s="6">
        <f>SUM(Z61:Z63)</f>
        <v>306.5</v>
      </c>
      <c r="AA64" s="6">
        <f t="shared" si="49"/>
        <v>920.6</v>
      </c>
      <c r="AB64" s="6">
        <f t="shared" si="49"/>
        <v>23688.999999999996</v>
      </c>
      <c r="AC64" s="6">
        <f>2690.5+61.3</f>
        <v>2751.8</v>
      </c>
      <c r="AD64" s="6">
        <v>0</v>
      </c>
      <c r="AE64" s="6">
        <v>121981.1</v>
      </c>
      <c r="AF64" s="6">
        <v>0</v>
      </c>
      <c r="AG64" s="6">
        <f t="shared" si="39"/>
        <v>121981.1</v>
      </c>
      <c r="AH64" s="6">
        <f t="shared" si="40"/>
        <v>0</v>
      </c>
      <c r="AI64" s="6">
        <v>0</v>
      </c>
      <c r="AJ64" s="6">
        <v>0</v>
      </c>
      <c r="AK64" s="6">
        <v>0</v>
      </c>
      <c r="AL64" s="6">
        <f t="shared" si="41"/>
        <v>124732.90000000001</v>
      </c>
      <c r="AM64" s="13">
        <f t="shared" si="42"/>
        <v>148421.9</v>
      </c>
    </row>
    <row r="65" spans="1:39" ht="12.75">
      <c r="A65" s="15" t="s">
        <v>15</v>
      </c>
      <c r="B65" s="5" t="s">
        <v>68</v>
      </c>
      <c r="C65" s="12" t="s">
        <v>57</v>
      </c>
      <c r="D65" s="12">
        <v>2350</v>
      </c>
      <c r="E65" s="12">
        <f>3995.5-262.6</f>
        <v>3732.9</v>
      </c>
      <c r="F65" s="12">
        <v>1090.1</v>
      </c>
      <c r="G65" s="12">
        <v>823.6</v>
      </c>
      <c r="H65" s="12">
        <v>872.1</v>
      </c>
      <c r="I65" s="12">
        <v>2673.4</v>
      </c>
      <c r="J65" s="12">
        <v>2102.1</v>
      </c>
      <c r="K65" s="12">
        <v>968.4</v>
      </c>
      <c r="L65" s="12">
        <v>3532.6</v>
      </c>
      <c r="M65" s="12">
        <v>1230.9</v>
      </c>
      <c r="N65" s="12">
        <v>4490.9</v>
      </c>
      <c r="O65" s="12">
        <v>3700.6</v>
      </c>
      <c r="P65" s="12">
        <v>1863.4</v>
      </c>
      <c r="Q65" s="12">
        <v>132.9</v>
      </c>
      <c r="R65" s="12">
        <v>4893</v>
      </c>
      <c r="S65" s="12">
        <v>8435.7</v>
      </c>
      <c r="T65" s="12">
        <v>4898.3</v>
      </c>
      <c r="U65" s="12">
        <v>1106</v>
      </c>
      <c r="V65" s="12">
        <v>0</v>
      </c>
      <c r="W65" s="12">
        <v>1557.4</v>
      </c>
      <c r="X65" s="12">
        <v>1170.2</v>
      </c>
      <c r="Y65" s="12">
        <v>391.3</v>
      </c>
      <c r="Z65" s="12">
        <v>1333.7</v>
      </c>
      <c r="AA65" s="12">
        <v>767.2</v>
      </c>
      <c r="AB65" s="12">
        <f t="shared" si="45"/>
        <v>54116.700000000004</v>
      </c>
      <c r="AC65" s="12">
        <f>132239.8+1037.3-200+81.1+1500+1361.8</f>
        <v>136019.99999999997</v>
      </c>
      <c r="AD65" s="12">
        <v>0</v>
      </c>
      <c r="AE65" s="12">
        <f>3793.7-1500</f>
        <v>2293.7</v>
      </c>
      <c r="AF65" s="12">
        <v>0</v>
      </c>
      <c r="AG65" s="12">
        <f t="shared" si="39"/>
        <v>2293.7</v>
      </c>
      <c r="AH65" s="12">
        <f t="shared" si="40"/>
        <v>0</v>
      </c>
      <c r="AI65" s="12">
        <v>0</v>
      </c>
      <c r="AJ65" s="12">
        <v>0</v>
      </c>
      <c r="AK65" s="12">
        <v>0</v>
      </c>
      <c r="AL65" s="12">
        <f t="shared" si="41"/>
        <v>138313.69999999998</v>
      </c>
      <c r="AM65" s="13">
        <f t="shared" si="42"/>
        <v>192430.4</v>
      </c>
    </row>
    <row r="66" spans="1:39" ht="12.75">
      <c r="A66" s="16"/>
      <c r="B66" s="5" t="s">
        <v>69</v>
      </c>
      <c r="C66" s="12" t="s">
        <v>58</v>
      </c>
      <c r="D66" s="12">
        <v>897.7</v>
      </c>
      <c r="E66" s="12">
        <f>506.2-99.2</f>
        <v>407</v>
      </c>
      <c r="F66" s="12">
        <v>304.1</v>
      </c>
      <c r="G66" s="12">
        <v>340.7</v>
      </c>
      <c r="H66" s="12">
        <v>406.4</v>
      </c>
      <c r="I66" s="12">
        <v>1107.3</v>
      </c>
      <c r="J66" s="12">
        <v>720.9</v>
      </c>
      <c r="K66" s="12">
        <v>435.2</v>
      </c>
      <c r="L66" s="12">
        <v>2489.6</v>
      </c>
      <c r="M66" s="12">
        <v>448.4</v>
      </c>
      <c r="N66" s="12">
        <v>2335.5</v>
      </c>
      <c r="O66" s="12">
        <v>2255.9</v>
      </c>
      <c r="P66" s="12">
        <v>697.7</v>
      </c>
      <c r="Q66" s="12">
        <v>39.6</v>
      </c>
      <c r="R66" s="12">
        <v>1755.3</v>
      </c>
      <c r="S66" s="12">
        <v>3024.2</v>
      </c>
      <c r="T66" s="12">
        <v>1934.3</v>
      </c>
      <c r="U66" s="12">
        <v>551.8</v>
      </c>
      <c r="V66" s="12">
        <v>0</v>
      </c>
      <c r="W66" s="12">
        <v>653.6</v>
      </c>
      <c r="X66" s="12">
        <v>345.3</v>
      </c>
      <c r="Y66" s="12">
        <v>447.8</v>
      </c>
      <c r="Z66" s="12">
        <v>465.2</v>
      </c>
      <c r="AA66" s="12">
        <v>229</v>
      </c>
      <c r="AB66" s="12">
        <f t="shared" si="45"/>
        <v>22292.499999999996</v>
      </c>
      <c r="AC66" s="12">
        <f>21467.1+200</f>
        <v>21667.1</v>
      </c>
      <c r="AD66" s="12">
        <v>0</v>
      </c>
      <c r="AE66" s="12">
        <v>2373.2</v>
      </c>
      <c r="AF66" s="12">
        <v>0</v>
      </c>
      <c r="AG66" s="12">
        <f t="shared" si="39"/>
        <v>2373.2</v>
      </c>
      <c r="AH66" s="12">
        <f t="shared" si="40"/>
        <v>0</v>
      </c>
      <c r="AI66" s="12">
        <v>0</v>
      </c>
      <c r="AJ66" s="12">
        <v>0</v>
      </c>
      <c r="AK66" s="12">
        <v>0</v>
      </c>
      <c r="AL66" s="12">
        <f t="shared" si="41"/>
        <v>24040.3</v>
      </c>
      <c r="AM66" s="13">
        <f t="shared" si="42"/>
        <v>46332.799999999996</v>
      </c>
    </row>
    <row r="67" spans="1:39" ht="12.75">
      <c r="A67" s="16"/>
      <c r="B67" s="5"/>
      <c r="C67" s="12" t="s">
        <v>59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f t="shared" si="45"/>
        <v>0</v>
      </c>
      <c r="AC67" s="12">
        <f>42.6</f>
        <v>42.6</v>
      </c>
      <c r="AD67" s="12">
        <v>0</v>
      </c>
      <c r="AE67" s="12">
        <v>79.2</v>
      </c>
      <c r="AF67" s="12">
        <v>0</v>
      </c>
      <c r="AG67" s="12">
        <f t="shared" si="39"/>
        <v>79.2</v>
      </c>
      <c r="AH67" s="12">
        <f t="shared" si="40"/>
        <v>0</v>
      </c>
      <c r="AI67" s="12">
        <v>0</v>
      </c>
      <c r="AJ67" s="12">
        <v>0</v>
      </c>
      <c r="AK67" s="12">
        <v>0</v>
      </c>
      <c r="AL67" s="12">
        <f t="shared" si="41"/>
        <v>121.80000000000001</v>
      </c>
      <c r="AM67" s="13">
        <f t="shared" si="42"/>
        <v>121.80000000000001</v>
      </c>
    </row>
    <row r="68" spans="1:39" s="2" customFormat="1" ht="12.75">
      <c r="A68" s="16"/>
      <c r="B68" s="5"/>
      <c r="C68" s="6" t="s">
        <v>60</v>
      </c>
      <c r="D68" s="6">
        <f>SUM(D65:D67)</f>
        <v>3247.7</v>
      </c>
      <c r="E68" s="6">
        <f aca="true" t="shared" si="50" ref="E68:T68">SUM(E65:E67)</f>
        <v>4139.9</v>
      </c>
      <c r="F68" s="6">
        <f t="shared" si="50"/>
        <v>1394.1999999999998</v>
      </c>
      <c r="G68" s="6">
        <f t="shared" si="50"/>
        <v>1164.3</v>
      </c>
      <c r="H68" s="6">
        <f t="shared" si="50"/>
        <v>1278.5</v>
      </c>
      <c r="I68" s="6">
        <f t="shared" si="50"/>
        <v>3780.7</v>
      </c>
      <c r="J68" s="6">
        <f t="shared" si="50"/>
        <v>2823</v>
      </c>
      <c r="K68" s="6">
        <f t="shared" si="50"/>
        <v>1403.6</v>
      </c>
      <c r="L68" s="6">
        <f t="shared" si="50"/>
        <v>6022.2</v>
      </c>
      <c r="M68" s="6">
        <f t="shared" si="50"/>
        <v>1679.3000000000002</v>
      </c>
      <c r="N68" s="6">
        <f t="shared" si="50"/>
        <v>6826.4</v>
      </c>
      <c r="O68" s="6">
        <f t="shared" si="50"/>
        <v>5956.5</v>
      </c>
      <c r="P68" s="6">
        <f t="shared" si="50"/>
        <v>2561.1000000000004</v>
      </c>
      <c r="Q68" s="6">
        <f t="shared" si="50"/>
        <v>172.5</v>
      </c>
      <c r="R68" s="6">
        <f t="shared" si="50"/>
        <v>6648.3</v>
      </c>
      <c r="S68" s="6">
        <f t="shared" si="50"/>
        <v>11459.900000000001</v>
      </c>
      <c r="T68" s="6">
        <f t="shared" si="50"/>
        <v>6832.6</v>
      </c>
      <c r="U68" s="6">
        <f aca="true" t="shared" si="51" ref="U68:AB68">SUM(U65:U67)</f>
        <v>1657.8</v>
      </c>
      <c r="V68" s="6">
        <f t="shared" si="51"/>
        <v>0</v>
      </c>
      <c r="W68" s="6">
        <f t="shared" si="51"/>
        <v>2211</v>
      </c>
      <c r="X68" s="6">
        <f t="shared" si="51"/>
        <v>1515.5</v>
      </c>
      <c r="Y68" s="6">
        <f t="shared" si="51"/>
        <v>839.1</v>
      </c>
      <c r="Z68" s="6">
        <f>SUM(Z65:Z67)</f>
        <v>1798.9</v>
      </c>
      <c r="AA68" s="6">
        <f t="shared" si="51"/>
        <v>996.2</v>
      </c>
      <c r="AB68" s="6">
        <f t="shared" si="51"/>
        <v>76409.2</v>
      </c>
      <c r="AC68" s="6">
        <f>SUM(AC65:AC67)</f>
        <v>157729.69999999998</v>
      </c>
      <c r="AD68" s="6">
        <v>0</v>
      </c>
      <c r="AE68" s="6">
        <f>SUM(AE65:AE67)</f>
        <v>4746.099999999999</v>
      </c>
      <c r="AF68" s="6">
        <v>0</v>
      </c>
      <c r="AG68" s="6">
        <f t="shared" si="39"/>
        <v>4746.099999999999</v>
      </c>
      <c r="AH68" s="6">
        <f t="shared" si="40"/>
        <v>0</v>
      </c>
      <c r="AI68" s="6">
        <v>0</v>
      </c>
      <c r="AJ68" s="6">
        <v>0</v>
      </c>
      <c r="AK68" s="6">
        <v>0</v>
      </c>
      <c r="AL68" s="6">
        <f t="shared" si="41"/>
        <v>162475.8</v>
      </c>
      <c r="AM68" s="13">
        <f t="shared" si="42"/>
        <v>238885</v>
      </c>
    </row>
    <row r="69" spans="1:39" ht="12.75">
      <c r="A69" s="15" t="s">
        <v>16</v>
      </c>
      <c r="B69" s="5" t="s">
        <v>70</v>
      </c>
      <c r="C69" s="12" t="s">
        <v>57</v>
      </c>
      <c r="D69" s="12">
        <v>448.9</v>
      </c>
      <c r="E69" s="12">
        <f>2389.7-156.6</f>
        <v>2233.1</v>
      </c>
      <c r="F69" s="12">
        <v>1300.6</v>
      </c>
      <c r="G69" s="12">
        <v>638.5</v>
      </c>
      <c r="H69" s="12">
        <v>577.3</v>
      </c>
      <c r="I69" s="12">
        <v>2912.7</v>
      </c>
      <c r="J69" s="12">
        <v>2286.2</v>
      </c>
      <c r="K69" s="12">
        <v>3387.4</v>
      </c>
      <c r="L69" s="12">
        <v>6185.4</v>
      </c>
      <c r="M69" s="12">
        <v>948.5</v>
      </c>
      <c r="N69" s="12">
        <v>2746.6</v>
      </c>
      <c r="O69" s="12">
        <v>2393.9</v>
      </c>
      <c r="P69" s="12">
        <v>1337</v>
      </c>
      <c r="Q69" s="12">
        <v>90.4</v>
      </c>
      <c r="R69" s="12">
        <v>3899.1</v>
      </c>
      <c r="S69" s="12">
        <v>8216.2</v>
      </c>
      <c r="T69" s="12">
        <v>8465.5</v>
      </c>
      <c r="U69" s="12">
        <v>2535.9</v>
      </c>
      <c r="V69" s="12">
        <v>0</v>
      </c>
      <c r="W69" s="12">
        <v>1322.6</v>
      </c>
      <c r="X69" s="12">
        <v>1268.9</v>
      </c>
      <c r="Y69" s="12">
        <v>1106.1</v>
      </c>
      <c r="Z69" s="12">
        <v>420.6</v>
      </c>
      <c r="AA69" s="12">
        <v>1166.5</v>
      </c>
      <c r="AB69" s="12">
        <f t="shared" si="45"/>
        <v>55887.9</v>
      </c>
      <c r="AC69" s="12">
        <f>23502.4-500+0.1-2000+75.4-4628.7+183.6+510</f>
        <v>17142.8</v>
      </c>
      <c r="AD69" s="12">
        <v>0</v>
      </c>
      <c r="AE69" s="12">
        <f>1354.7+75.4+1000</f>
        <v>2430.1000000000004</v>
      </c>
      <c r="AF69" s="12">
        <v>0</v>
      </c>
      <c r="AG69" s="12">
        <f t="shared" si="39"/>
        <v>2430.1000000000004</v>
      </c>
      <c r="AH69" s="12">
        <f t="shared" si="40"/>
        <v>4177.400000000001</v>
      </c>
      <c r="AI69" s="12">
        <f>2617.6+1000</f>
        <v>3617.6</v>
      </c>
      <c r="AJ69" s="12">
        <v>499.2</v>
      </c>
      <c r="AK69" s="12">
        <v>60.6</v>
      </c>
      <c r="AL69" s="12">
        <f t="shared" si="41"/>
        <v>23750.3</v>
      </c>
      <c r="AM69" s="13">
        <f t="shared" si="42"/>
        <v>79638.2</v>
      </c>
    </row>
    <row r="70" spans="1:39" ht="12.75">
      <c r="A70" s="16"/>
      <c r="B70" s="5"/>
      <c r="C70" s="12" t="s">
        <v>58</v>
      </c>
      <c r="D70" s="12">
        <v>59.8</v>
      </c>
      <c r="E70" s="12">
        <f>401.6-27</f>
        <v>374.6</v>
      </c>
      <c r="F70" s="12">
        <v>254.2</v>
      </c>
      <c r="G70" s="12">
        <v>158.8</v>
      </c>
      <c r="H70" s="12">
        <v>84.90000000000009</v>
      </c>
      <c r="I70" s="12">
        <v>733.6</v>
      </c>
      <c r="J70" s="12">
        <v>739.4</v>
      </c>
      <c r="K70" s="12">
        <v>416.8</v>
      </c>
      <c r="L70" s="12">
        <v>1897.2</v>
      </c>
      <c r="M70" s="12">
        <v>261.8</v>
      </c>
      <c r="N70" s="12">
        <v>1064.4</v>
      </c>
      <c r="O70" s="12">
        <v>952</v>
      </c>
      <c r="P70" s="12">
        <v>230.5</v>
      </c>
      <c r="Q70" s="12">
        <v>17.2</v>
      </c>
      <c r="R70" s="12">
        <v>2182.5</v>
      </c>
      <c r="S70" s="12">
        <v>2444.5</v>
      </c>
      <c r="T70" s="12">
        <v>3858.2</v>
      </c>
      <c r="U70" s="12">
        <v>128</v>
      </c>
      <c r="V70" s="12">
        <v>0</v>
      </c>
      <c r="W70" s="12">
        <v>257.4</v>
      </c>
      <c r="X70" s="12">
        <v>140.6</v>
      </c>
      <c r="Y70" s="12">
        <v>98.7</v>
      </c>
      <c r="Z70" s="12">
        <v>90.4</v>
      </c>
      <c r="AA70" s="12">
        <v>192.7</v>
      </c>
      <c r="AB70" s="12">
        <f t="shared" si="45"/>
        <v>16638.200000000004</v>
      </c>
      <c r="AC70" s="12">
        <v>602.1000000000022</v>
      </c>
      <c r="AD70" s="12">
        <v>0</v>
      </c>
      <c r="AE70" s="12">
        <v>21.2</v>
      </c>
      <c r="AF70" s="12">
        <v>0</v>
      </c>
      <c r="AG70" s="12">
        <f aca="true" t="shared" si="52" ref="AG70:AG85">AE70+AF70</f>
        <v>21.2</v>
      </c>
      <c r="AH70" s="12">
        <f aca="true" t="shared" si="53" ref="AH70:AH85">AI70+AJ70+AK70</f>
        <v>0</v>
      </c>
      <c r="AI70" s="12">
        <v>0</v>
      </c>
      <c r="AJ70" s="12">
        <v>0</v>
      </c>
      <c r="AK70" s="12">
        <v>0</v>
      </c>
      <c r="AL70" s="12">
        <f aca="true" t="shared" si="54" ref="AL70:AL85">AH70+AG70+AD70+AC70</f>
        <v>623.3000000000022</v>
      </c>
      <c r="AM70" s="13">
        <f aca="true" t="shared" si="55" ref="AM70:AM85">AL70+AB70</f>
        <v>17261.500000000007</v>
      </c>
    </row>
    <row r="71" spans="1:39" ht="12.75">
      <c r="A71" s="16"/>
      <c r="B71" s="5"/>
      <c r="C71" s="12" t="s">
        <v>59</v>
      </c>
      <c r="D71" s="12">
        <v>0</v>
      </c>
      <c r="E71" s="12">
        <v>0</v>
      </c>
      <c r="F71" s="12">
        <v>0</v>
      </c>
      <c r="G71" s="12">
        <v>2.8</v>
      </c>
      <c r="H71" s="12">
        <v>0</v>
      </c>
      <c r="I71" s="12">
        <v>8.6</v>
      </c>
      <c r="J71" s="12">
        <v>21.4</v>
      </c>
      <c r="K71" s="12">
        <v>11.1</v>
      </c>
      <c r="L71" s="12">
        <v>71.2</v>
      </c>
      <c r="M71" s="12">
        <v>0</v>
      </c>
      <c r="N71" s="12">
        <v>37.4</v>
      </c>
      <c r="O71" s="12">
        <v>123.2</v>
      </c>
      <c r="P71" s="12">
        <v>1</v>
      </c>
      <c r="Q71" s="12">
        <v>0</v>
      </c>
      <c r="R71" s="12">
        <v>0</v>
      </c>
      <c r="S71" s="12">
        <v>0</v>
      </c>
      <c r="T71" s="12">
        <v>174.6</v>
      </c>
      <c r="U71" s="12">
        <v>2.7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f t="shared" si="45"/>
        <v>453.99999999999994</v>
      </c>
      <c r="AC71" s="12">
        <f>83.1+500-510</f>
        <v>73.10000000000002</v>
      </c>
      <c r="AD71" s="12">
        <v>0</v>
      </c>
      <c r="AE71" s="12">
        <v>0</v>
      </c>
      <c r="AF71" s="12">
        <v>0</v>
      </c>
      <c r="AG71" s="12">
        <f t="shared" si="52"/>
        <v>0</v>
      </c>
      <c r="AH71" s="12">
        <f t="shared" si="53"/>
        <v>0</v>
      </c>
      <c r="AI71" s="12">
        <v>0</v>
      </c>
      <c r="AJ71" s="12">
        <v>0</v>
      </c>
      <c r="AK71" s="12">
        <v>0</v>
      </c>
      <c r="AL71" s="12">
        <f t="shared" si="54"/>
        <v>73.10000000000002</v>
      </c>
      <c r="AM71" s="13">
        <f t="shared" si="55"/>
        <v>527.0999999999999</v>
      </c>
    </row>
    <row r="72" spans="1:39" s="2" customFormat="1" ht="12.75">
      <c r="A72" s="14"/>
      <c r="B72" s="5"/>
      <c r="C72" s="6" t="s">
        <v>60</v>
      </c>
      <c r="D72" s="6">
        <f>SUM(D69:D71)</f>
        <v>508.7</v>
      </c>
      <c r="E72" s="6">
        <f aca="true" t="shared" si="56" ref="E72:T72">SUM(E69:E71)</f>
        <v>2607.7</v>
      </c>
      <c r="F72" s="6">
        <f t="shared" si="56"/>
        <v>1554.8</v>
      </c>
      <c r="G72" s="6">
        <f t="shared" si="56"/>
        <v>800.0999999999999</v>
      </c>
      <c r="H72" s="6">
        <f t="shared" si="56"/>
        <v>662.2</v>
      </c>
      <c r="I72" s="6">
        <f t="shared" si="56"/>
        <v>3654.8999999999996</v>
      </c>
      <c r="J72" s="6">
        <f t="shared" si="56"/>
        <v>3047</v>
      </c>
      <c r="K72" s="6">
        <f t="shared" si="56"/>
        <v>3815.3</v>
      </c>
      <c r="L72" s="6">
        <f t="shared" si="56"/>
        <v>8153.799999999999</v>
      </c>
      <c r="M72" s="6">
        <f t="shared" si="56"/>
        <v>1210.3</v>
      </c>
      <c r="N72" s="6">
        <f t="shared" si="56"/>
        <v>3848.4</v>
      </c>
      <c r="O72" s="6">
        <f t="shared" si="56"/>
        <v>3469.1</v>
      </c>
      <c r="P72" s="6">
        <f t="shared" si="56"/>
        <v>1568.5</v>
      </c>
      <c r="Q72" s="6">
        <f t="shared" si="56"/>
        <v>107.60000000000001</v>
      </c>
      <c r="R72" s="6">
        <f t="shared" si="56"/>
        <v>6081.6</v>
      </c>
      <c r="S72" s="6">
        <f t="shared" si="56"/>
        <v>10660.7</v>
      </c>
      <c r="T72" s="6">
        <f t="shared" si="56"/>
        <v>12498.300000000001</v>
      </c>
      <c r="U72" s="6">
        <f aca="true" t="shared" si="57" ref="U72:AB72">SUM(U69:U71)</f>
        <v>2666.6</v>
      </c>
      <c r="V72" s="6">
        <f t="shared" si="57"/>
        <v>0</v>
      </c>
      <c r="W72" s="6">
        <f t="shared" si="57"/>
        <v>1580</v>
      </c>
      <c r="X72" s="6">
        <f t="shared" si="57"/>
        <v>1409.5</v>
      </c>
      <c r="Y72" s="6">
        <f t="shared" si="57"/>
        <v>1204.8</v>
      </c>
      <c r="Z72" s="6">
        <f>SUM(Z69:Z71)</f>
        <v>511</v>
      </c>
      <c r="AA72" s="6">
        <f t="shared" si="57"/>
        <v>1359.2</v>
      </c>
      <c r="AB72" s="6">
        <f t="shared" si="57"/>
        <v>72980.1</v>
      </c>
      <c r="AC72" s="6">
        <f>SUM(AC69:AC71)</f>
        <v>17818</v>
      </c>
      <c r="AD72" s="6">
        <v>0</v>
      </c>
      <c r="AE72" s="6">
        <f>SUM(AE69:AE71)</f>
        <v>2451.3</v>
      </c>
      <c r="AF72" s="6">
        <v>0</v>
      </c>
      <c r="AG72" s="6">
        <f t="shared" si="52"/>
        <v>2451.3</v>
      </c>
      <c r="AH72" s="6">
        <f>SUM(AH69:AH71)</f>
        <v>4177.400000000001</v>
      </c>
      <c r="AI72" s="6">
        <f>SUM(AI69:AI71)</f>
        <v>3617.6</v>
      </c>
      <c r="AJ72" s="6">
        <f>SUM(AJ69:AJ71)</f>
        <v>499.2</v>
      </c>
      <c r="AK72" s="6">
        <f>SUM(AK69:AK71)</f>
        <v>60.6</v>
      </c>
      <c r="AL72" s="6">
        <f t="shared" si="54"/>
        <v>24446.7</v>
      </c>
      <c r="AM72" s="13">
        <f t="shared" si="55"/>
        <v>97426.8</v>
      </c>
    </row>
    <row r="73" spans="1:39" ht="12.75">
      <c r="A73" s="15" t="s">
        <v>17</v>
      </c>
      <c r="B73" s="5" t="s">
        <v>40</v>
      </c>
      <c r="C73" s="12" t="s">
        <v>57</v>
      </c>
      <c r="D73" s="12">
        <v>435.8</v>
      </c>
      <c r="E73" s="12">
        <v>196.5</v>
      </c>
      <c r="F73" s="12">
        <v>179.3</v>
      </c>
      <c r="G73" s="12">
        <v>55</v>
      </c>
      <c r="H73" s="12">
        <v>65.8</v>
      </c>
      <c r="I73" s="12">
        <v>158.5</v>
      </c>
      <c r="J73" s="12">
        <v>147.9</v>
      </c>
      <c r="K73" s="12">
        <v>244.2</v>
      </c>
      <c r="L73" s="12">
        <v>386.2</v>
      </c>
      <c r="M73" s="12">
        <v>203.1</v>
      </c>
      <c r="N73" s="12">
        <v>436.1</v>
      </c>
      <c r="O73" s="12">
        <v>185.3</v>
      </c>
      <c r="P73" s="12">
        <v>233.4</v>
      </c>
      <c r="Q73" s="12">
        <v>94.4</v>
      </c>
      <c r="R73" s="12">
        <v>520.5</v>
      </c>
      <c r="S73" s="12">
        <v>965.8</v>
      </c>
      <c r="T73" s="12">
        <v>520</v>
      </c>
      <c r="U73" s="12">
        <v>3004.5</v>
      </c>
      <c r="V73" s="12">
        <f>61324-3000</f>
        <v>58324</v>
      </c>
      <c r="W73" s="12">
        <v>553</v>
      </c>
      <c r="X73" s="12">
        <v>119.8</v>
      </c>
      <c r="Y73" s="12">
        <v>30.3</v>
      </c>
      <c r="Z73" s="12">
        <v>33.6</v>
      </c>
      <c r="AA73" s="12">
        <v>254.3</v>
      </c>
      <c r="AB73" s="12">
        <f aca="true" t="shared" si="58" ref="AB73:AB87">SUM(D73:AA73)</f>
        <v>67347.30000000002</v>
      </c>
      <c r="AC73" s="12">
        <f>7877.8+3000-1824.8-1000+6.4</f>
        <v>8059.4</v>
      </c>
      <c r="AD73" s="12">
        <v>0</v>
      </c>
      <c r="AE73" s="12">
        <v>0</v>
      </c>
      <c r="AF73" s="12">
        <v>0</v>
      </c>
      <c r="AG73" s="12">
        <f t="shared" si="52"/>
        <v>0</v>
      </c>
      <c r="AH73" s="12">
        <f t="shared" si="53"/>
        <v>0</v>
      </c>
      <c r="AI73" s="12">
        <v>0</v>
      </c>
      <c r="AJ73" s="12">
        <v>0</v>
      </c>
      <c r="AK73" s="12">
        <v>0</v>
      </c>
      <c r="AL73" s="12">
        <f t="shared" si="54"/>
        <v>8059.4</v>
      </c>
      <c r="AM73" s="13">
        <f t="shared" si="55"/>
        <v>75406.70000000001</v>
      </c>
    </row>
    <row r="74" spans="1:39" ht="12.75">
      <c r="A74" s="16"/>
      <c r="B74" s="5"/>
      <c r="C74" s="12" t="s">
        <v>58</v>
      </c>
      <c r="D74" s="12">
        <v>19.7</v>
      </c>
      <c r="E74" s="12">
        <v>14.5</v>
      </c>
      <c r="F74" s="12">
        <v>12.2</v>
      </c>
      <c r="G74" s="12">
        <v>1</v>
      </c>
      <c r="H74" s="12">
        <v>0</v>
      </c>
      <c r="I74" s="12">
        <v>10.2</v>
      </c>
      <c r="J74" s="12">
        <v>19.2</v>
      </c>
      <c r="K74" s="12">
        <v>11</v>
      </c>
      <c r="L74" s="12">
        <v>8.100000000000023</v>
      </c>
      <c r="M74" s="12">
        <v>6.599999999999994</v>
      </c>
      <c r="N74" s="12">
        <v>17.2</v>
      </c>
      <c r="O74" s="12">
        <v>15.3</v>
      </c>
      <c r="P74" s="12">
        <v>8.900000000000006</v>
      </c>
      <c r="Q74" s="12">
        <v>12.6</v>
      </c>
      <c r="R74" s="12">
        <v>32.4</v>
      </c>
      <c r="S74" s="12">
        <v>9.600000000000023</v>
      </c>
      <c r="T74" s="12">
        <v>19.2</v>
      </c>
      <c r="U74" s="12">
        <v>702.1</v>
      </c>
      <c r="V74" s="12">
        <v>0</v>
      </c>
      <c r="W74" s="12">
        <v>12.4</v>
      </c>
      <c r="X74" s="12">
        <v>0</v>
      </c>
      <c r="Y74" s="12">
        <v>0</v>
      </c>
      <c r="Z74" s="12">
        <v>0</v>
      </c>
      <c r="AA74" s="12">
        <v>8.899999999999977</v>
      </c>
      <c r="AB74" s="12">
        <f t="shared" si="58"/>
        <v>941.1</v>
      </c>
      <c r="AC74" s="12">
        <v>0</v>
      </c>
      <c r="AD74" s="12">
        <v>0</v>
      </c>
      <c r="AE74" s="12">
        <v>0</v>
      </c>
      <c r="AF74" s="12">
        <v>0</v>
      </c>
      <c r="AG74" s="12">
        <f t="shared" si="52"/>
        <v>0</v>
      </c>
      <c r="AH74" s="12">
        <f t="shared" si="53"/>
        <v>0</v>
      </c>
      <c r="AI74" s="12">
        <v>0</v>
      </c>
      <c r="AJ74" s="12">
        <v>0</v>
      </c>
      <c r="AK74" s="12">
        <v>0</v>
      </c>
      <c r="AL74" s="12">
        <f t="shared" si="54"/>
        <v>0</v>
      </c>
      <c r="AM74" s="13">
        <f t="shared" si="55"/>
        <v>941.1</v>
      </c>
    </row>
    <row r="75" spans="1:39" ht="12.75">
      <c r="A75" s="16"/>
      <c r="B75" s="5"/>
      <c r="C75" s="12" t="s">
        <v>59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31.4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f t="shared" si="58"/>
        <v>31.4</v>
      </c>
      <c r="AC75" s="12">
        <v>0</v>
      </c>
      <c r="AD75" s="12">
        <v>0</v>
      </c>
      <c r="AE75" s="12">
        <v>0</v>
      </c>
      <c r="AF75" s="12">
        <v>0</v>
      </c>
      <c r="AG75" s="12">
        <f t="shared" si="52"/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f t="shared" si="54"/>
        <v>0</v>
      </c>
      <c r="AM75" s="13">
        <f t="shared" si="55"/>
        <v>31.4</v>
      </c>
    </row>
    <row r="76" spans="1:39" s="2" customFormat="1" ht="12.75">
      <c r="A76" s="16"/>
      <c r="B76" s="5"/>
      <c r="C76" s="6" t="s">
        <v>60</v>
      </c>
      <c r="D76" s="6">
        <f>SUM(D73:D75)</f>
        <v>455.5</v>
      </c>
      <c r="E76" s="6">
        <f aca="true" t="shared" si="59" ref="E76:T76">SUM(E73:E75)</f>
        <v>211</v>
      </c>
      <c r="F76" s="6">
        <f t="shared" si="59"/>
        <v>191.5</v>
      </c>
      <c r="G76" s="6">
        <f t="shared" si="59"/>
        <v>56</v>
      </c>
      <c r="H76" s="6">
        <f t="shared" si="59"/>
        <v>65.8</v>
      </c>
      <c r="I76" s="6">
        <f t="shared" si="59"/>
        <v>168.7</v>
      </c>
      <c r="J76" s="6">
        <f t="shared" si="59"/>
        <v>167.1</v>
      </c>
      <c r="K76" s="6">
        <f t="shared" si="59"/>
        <v>255.2</v>
      </c>
      <c r="L76" s="6">
        <f t="shared" si="59"/>
        <v>394.3</v>
      </c>
      <c r="M76" s="6">
        <f t="shared" si="59"/>
        <v>209.7</v>
      </c>
      <c r="N76" s="6">
        <f t="shared" si="59"/>
        <v>453.3</v>
      </c>
      <c r="O76" s="6">
        <f t="shared" si="59"/>
        <v>200.60000000000002</v>
      </c>
      <c r="P76" s="6">
        <f t="shared" si="59"/>
        <v>242.3</v>
      </c>
      <c r="Q76" s="6">
        <f t="shared" si="59"/>
        <v>107</v>
      </c>
      <c r="R76" s="6">
        <f t="shared" si="59"/>
        <v>552.9</v>
      </c>
      <c r="S76" s="6">
        <f t="shared" si="59"/>
        <v>975.4</v>
      </c>
      <c r="T76" s="6">
        <f t="shared" si="59"/>
        <v>539.2</v>
      </c>
      <c r="U76" s="6">
        <f aca="true" t="shared" si="60" ref="U76:AB76">SUM(U73:U75)</f>
        <v>3738</v>
      </c>
      <c r="V76" s="6">
        <f t="shared" si="60"/>
        <v>58324</v>
      </c>
      <c r="W76" s="6">
        <f t="shared" si="60"/>
        <v>565.4</v>
      </c>
      <c r="X76" s="6">
        <f t="shared" si="60"/>
        <v>119.8</v>
      </c>
      <c r="Y76" s="6">
        <f t="shared" si="60"/>
        <v>30.3</v>
      </c>
      <c r="Z76" s="6">
        <f>SUM(Z73:Z75)</f>
        <v>33.6</v>
      </c>
      <c r="AA76" s="6">
        <f t="shared" si="60"/>
        <v>263.2</v>
      </c>
      <c r="AB76" s="6">
        <f t="shared" si="60"/>
        <v>68319.80000000002</v>
      </c>
      <c r="AC76" s="6">
        <f>7877.8+3000-1824.8-1000+6.4</f>
        <v>8059.4</v>
      </c>
      <c r="AD76" s="6">
        <v>0</v>
      </c>
      <c r="AE76" s="6">
        <v>0</v>
      </c>
      <c r="AF76" s="6">
        <v>0</v>
      </c>
      <c r="AG76" s="6">
        <f t="shared" si="52"/>
        <v>0</v>
      </c>
      <c r="AH76" s="6">
        <f t="shared" si="53"/>
        <v>0</v>
      </c>
      <c r="AI76" s="6">
        <v>0</v>
      </c>
      <c r="AJ76" s="6">
        <v>0</v>
      </c>
      <c r="AK76" s="6">
        <v>0</v>
      </c>
      <c r="AL76" s="6">
        <f t="shared" si="54"/>
        <v>8059.4</v>
      </c>
      <c r="AM76" s="13">
        <f>SUM(AM73:AM75)</f>
        <v>76379.20000000001</v>
      </c>
    </row>
    <row r="77" spans="1:39" ht="12.75">
      <c r="A77" s="15" t="s">
        <v>19</v>
      </c>
      <c r="B77" s="5" t="s">
        <v>71</v>
      </c>
      <c r="C77" s="12" t="s">
        <v>57</v>
      </c>
      <c r="D77" s="12">
        <v>19.5</v>
      </c>
      <c r="E77" s="12">
        <f>1882.7-124</f>
        <v>1758.7</v>
      </c>
      <c r="F77" s="12">
        <v>1837</v>
      </c>
      <c r="G77" s="12">
        <v>1298.5</v>
      </c>
      <c r="H77" s="12">
        <v>1119.7</v>
      </c>
      <c r="I77" s="12">
        <v>2679.8</v>
      </c>
      <c r="J77" s="12">
        <v>1917</v>
      </c>
      <c r="K77" s="12">
        <v>1752.4</v>
      </c>
      <c r="L77" s="12">
        <v>1982.9</v>
      </c>
      <c r="M77" s="12">
        <v>1128.4</v>
      </c>
      <c r="N77" s="12">
        <v>3645.7</v>
      </c>
      <c r="O77" s="12">
        <v>1454.3</v>
      </c>
      <c r="P77" s="12">
        <v>1490.8</v>
      </c>
      <c r="Q77" s="12">
        <v>699.5</v>
      </c>
      <c r="R77" s="12">
        <v>3035.5</v>
      </c>
      <c r="S77" s="12">
        <v>15350.2</v>
      </c>
      <c r="T77" s="12">
        <v>2579.1</v>
      </c>
      <c r="U77" s="12">
        <v>5995.5</v>
      </c>
      <c r="V77" s="12">
        <v>0</v>
      </c>
      <c r="W77" s="12">
        <f>6052.2-100-2000</f>
        <v>3952.2</v>
      </c>
      <c r="X77" s="12">
        <v>7336.7</v>
      </c>
      <c r="Y77" s="12">
        <v>964.3</v>
      </c>
      <c r="Z77" s="12">
        <v>1356.9</v>
      </c>
      <c r="AA77" s="12">
        <v>4538.1</v>
      </c>
      <c r="AB77" s="12">
        <f t="shared" si="58"/>
        <v>67892.7</v>
      </c>
      <c r="AC77" s="12">
        <f>52955.9+6000+472.3+139</f>
        <v>59567.200000000004</v>
      </c>
      <c r="AD77" s="12">
        <v>0</v>
      </c>
      <c r="AE77" s="12">
        <v>580</v>
      </c>
      <c r="AF77" s="12">
        <v>0</v>
      </c>
      <c r="AG77" s="12">
        <f t="shared" si="52"/>
        <v>580</v>
      </c>
      <c r="AH77" s="12">
        <f t="shared" si="53"/>
        <v>734.8000000000001</v>
      </c>
      <c r="AI77" s="12">
        <v>717.6</v>
      </c>
      <c r="AJ77" s="12">
        <f>17.1+0.1</f>
        <v>17.200000000000003</v>
      </c>
      <c r="AK77" s="12">
        <v>0</v>
      </c>
      <c r="AL77" s="12">
        <f t="shared" si="54"/>
        <v>60882.00000000001</v>
      </c>
      <c r="AM77" s="13">
        <f t="shared" si="55"/>
        <v>128774.70000000001</v>
      </c>
    </row>
    <row r="78" spans="1:39" ht="12.75">
      <c r="A78" s="16"/>
      <c r="B78" s="5"/>
      <c r="C78" s="12" t="s">
        <v>58</v>
      </c>
      <c r="D78" s="12">
        <v>0</v>
      </c>
      <c r="E78" s="12">
        <f>227.9-15</f>
        <v>212.9</v>
      </c>
      <c r="F78" s="12">
        <v>382.7</v>
      </c>
      <c r="G78" s="12">
        <v>264.7</v>
      </c>
      <c r="H78" s="12">
        <v>119.4</v>
      </c>
      <c r="I78" s="12">
        <v>494.2</v>
      </c>
      <c r="J78" s="12">
        <v>282.2</v>
      </c>
      <c r="K78" s="12">
        <v>239.4</v>
      </c>
      <c r="L78" s="12">
        <v>321.7</v>
      </c>
      <c r="M78" s="12">
        <v>195.9</v>
      </c>
      <c r="N78" s="12">
        <v>794.9000000000005</v>
      </c>
      <c r="O78" s="12">
        <v>418.2</v>
      </c>
      <c r="P78" s="12">
        <v>225.4</v>
      </c>
      <c r="Q78" s="12">
        <v>78.9</v>
      </c>
      <c r="R78" s="12">
        <v>198.7</v>
      </c>
      <c r="S78" s="12">
        <v>1363.5</v>
      </c>
      <c r="T78" s="12">
        <v>326.5</v>
      </c>
      <c r="U78" s="12">
        <v>1558.6</v>
      </c>
      <c r="V78" s="12">
        <v>0</v>
      </c>
      <c r="W78" s="12">
        <v>818.9000000000005</v>
      </c>
      <c r="X78" s="12">
        <v>1490.7</v>
      </c>
      <c r="Y78" s="12">
        <v>186.6</v>
      </c>
      <c r="Z78" s="12">
        <v>267.8</v>
      </c>
      <c r="AA78" s="12">
        <v>510.9</v>
      </c>
      <c r="AB78" s="12">
        <f t="shared" si="58"/>
        <v>10752.7</v>
      </c>
      <c r="AC78" s="12">
        <v>33.69999999999709</v>
      </c>
      <c r="AD78" s="12">
        <v>0</v>
      </c>
      <c r="AE78" s="12">
        <v>716.2</v>
      </c>
      <c r="AF78" s="12">
        <v>0</v>
      </c>
      <c r="AG78" s="12">
        <f t="shared" si="52"/>
        <v>716.2</v>
      </c>
      <c r="AH78" s="12">
        <f t="shared" si="53"/>
        <v>0</v>
      </c>
      <c r="AI78" s="12">
        <v>0</v>
      </c>
      <c r="AJ78" s="12">
        <v>0</v>
      </c>
      <c r="AK78" s="12">
        <v>0</v>
      </c>
      <c r="AL78" s="12">
        <f t="shared" si="54"/>
        <v>749.8999999999971</v>
      </c>
      <c r="AM78" s="13">
        <f t="shared" si="55"/>
        <v>11502.599999999999</v>
      </c>
    </row>
    <row r="79" spans="1:39" ht="12.75">
      <c r="A79" s="16"/>
      <c r="B79" s="5"/>
      <c r="C79" s="12" t="s">
        <v>59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4.2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f>4.2+100</f>
        <v>104.2</v>
      </c>
      <c r="X79" s="12">
        <v>0</v>
      </c>
      <c r="Y79" s="12">
        <v>0</v>
      </c>
      <c r="Z79" s="12">
        <v>0</v>
      </c>
      <c r="AA79" s="12">
        <v>0</v>
      </c>
      <c r="AB79" s="12">
        <f t="shared" si="58"/>
        <v>108.4</v>
      </c>
      <c r="AC79" s="12">
        <v>0</v>
      </c>
      <c r="AD79" s="12">
        <v>0</v>
      </c>
      <c r="AE79" s="12">
        <v>0</v>
      </c>
      <c r="AF79" s="12">
        <v>0</v>
      </c>
      <c r="AG79" s="12">
        <f t="shared" si="52"/>
        <v>0</v>
      </c>
      <c r="AH79" s="12">
        <f t="shared" si="53"/>
        <v>0</v>
      </c>
      <c r="AI79" s="12">
        <v>0</v>
      </c>
      <c r="AJ79" s="12">
        <v>0</v>
      </c>
      <c r="AK79" s="12">
        <v>0</v>
      </c>
      <c r="AL79" s="12">
        <f t="shared" si="54"/>
        <v>0</v>
      </c>
      <c r="AM79" s="13">
        <f t="shared" si="55"/>
        <v>108.4</v>
      </c>
    </row>
    <row r="80" spans="1:39" s="2" customFormat="1" ht="12.75">
      <c r="A80" s="16"/>
      <c r="B80" s="5"/>
      <c r="C80" s="6" t="s">
        <v>60</v>
      </c>
      <c r="D80" s="6">
        <f>SUM(D77:D79)</f>
        <v>19.5</v>
      </c>
      <c r="E80" s="6">
        <f aca="true" t="shared" si="61" ref="E80:T80">SUM(E77:E79)</f>
        <v>1971.6000000000001</v>
      </c>
      <c r="F80" s="6">
        <f t="shared" si="61"/>
        <v>2219.7</v>
      </c>
      <c r="G80" s="6">
        <f t="shared" si="61"/>
        <v>1563.2</v>
      </c>
      <c r="H80" s="6">
        <f t="shared" si="61"/>
        <v>1239.1000000000001</v>
      </c>
      <c r="I80" s="6">
        <f t="shared" si="61"/>
        <v>3174</v>
      </c>
      <c r="J80" s="6">
        <f t="shared" si="61"/>
        <v>2199.2</v>
      </c>
      <c r="K80" s="6">
        <f t="shared" si="61"/>
        <v>1991.8000000000002</v>
      </c>
      <c r="L80" s="6">
        <f t="shared" si="61"/>
        <v>2304.6</v>
      </c>
      <c r="M80" s="6">
        <f t="shared" si="61"/>
        <v>1324.3000000000002</v>
      </c>
      <c r="N80" s="6">
        <f t="shared" si="61"/>
        <v>4440.6</v>
      </c>
      <c r="O80" s="6">
        <f t="shared" si="61"/>
        <v>1876.7</v>
      </c>
      <c r="P80" s="6">
        <f t="shared" si="61"/>
        <v>1716.2</v>
      </c>
      <c r="Q80" s="6">
        <f t="shared" si="61"/>
        <v>778.4</v>
      </c>
      <c r="R80" s="6">
        <f t="shared" si="61"/>
        <v>3234.2</v>
      </c>
      <c r="S80" s="6">
        <f t="shared" si="61"/>
        <v>16713.7</v>
      </c>
      <c r="T80" s="6">
        <f t="shared" si="61"/>
        <v>2905.6</v>
      </c>
      <c r="U80" s="6">
        <f aca="true" t="shared" si="62" ref="U80:AB80">SUM(U77:U79)</f>
        <v>7554.1</v>
      </c>
      <c r="V80" s="6">
        <f t="shared" si="62"/>
        <v>0</v>
      </c>
      <c r="W80" s="6">
        <f t="shared" si="62"/>
        <v>4875.3</v>
      </c>
      <c r="X80" s="6">
        <f t="shared" si="62"/>
        <v>8827.4</v>
      </c>
      <c r="Y80" s="6">
        <f t="shared" si="62"/>
        <v>1150.8999999999999</v>
      </c>
      <c r="Z80" s="6">
        <f>SUM(Z77:Z79)</f>
        <v>1624.7</v>
      </c>
      <c r="AA80" s="6">
        <f t="shared" si="62"/>
        <v>5049</v>
      </c>
      <c r="AB80" s="6">
        <f t="shared" si="62"/>
        <v>78753.79999999999</v>
      </c>
      <c r="AC80" s="6">
        <f>SUM(AC77:AC79)</f>
        <v>59600.9</v>
      </c>
      <c r="AD80" s="6">
        <v>0</v>
      </c>
      <c r="AE80" s="6">
        <v>1296.2</v>
      </c>
      <c r="AF80" s="6">
        <v>0</v>
      </c>
      <c r="AG80" s="6">
        <f t="shared" si="52"/>
        <v>1296.2</v>
      </c>
      <c r="AH80" s="6">
        <f t="shared" si="53"/>
        <v>734.8000000000001</v>
      </c>
      <c r="AI80" s="6">
        <v>717.6</v>
      </c>
      <c r="AJ80" s="6">
        <f>SUM(AJ77:AJ79)</f>
        <v>17.200000000000003</v>
      </c>
      <c r="AK80" s="6">
        <v>0</v>
      </c>
      <c r="AL80" s="6">
        <f t="shared" si="54"/>
        <v>61631.9</v>
      </c>
      <c r="AM80" s="13">
        <f t="shared" si="55"/>
        <v>140385.69999999998</v>
      </c>
    </row>
    <row r="81" spans="1:39" ht="12.75">
      <c r="A81" s="15" t="s">
        <v>20</v>
      </c>
      <c r="B81" s="5" t="s">
        <v>43</v>
      </c>
      <c r="C81" s="12" t="s">
        <v>57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f t="shared" si="58"/>
        <v>0</v>
      </c>
      <c r="AC81" s="12">
        <v>0</v>
      </c>
      <c r="AD81" s="12">
        <f>47034.9-2775.1-1000+5550-0.2+3123.2</f>
        <v>51932.8</v>
      </c>
      <c r="AE81" s="12">
        <v>0</v>
      </c>
      <c r="AF81" s="12">
        <v>0</v>
      </c>
      <c r="AG81" s="12">
        <f t="shared" si="52"/>
        <v>0</v>
      </c>
      <c r="AH81" s="12">
        <f t="shared" si="53"/>
        <v>0</v>
      </c>
      <c r="AI81" s="12">
        <v>0</v>
      </c>
      <c r="AJ81" s="12">
        <v>0</v>
      </c>
      <c r="AK81" s="12">
        <v>0</v>
      </c>
      <c r="AL81" s="12">
        <f t="shared" si="54"/>
        <v>51932.8</v>
      </c>
      <c r="AM81" s="13">
        <f t="shared" si="55"/>
        <v>51932.8</v>
      </c>
    </row>
    <row r="82" spans="1:39" ht="12.75">
      <c r="A82" s="16"/>
      <c r="B82" s="5"/>
      <c r="C82" s="12" t="s">
        <v>58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f t="shared" si="58"/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f t="shared" si="52"/>
        <v>0</v>
      </c>
      <c r="AH82" s="12">
        <f t="shared" si="53"/>
        <v>0</v>
      </c>
      <c r="AI82" s="12">
        <v>0</v>
      </c>
      <c r="AJ82" s="12">
        <v>0</v>
      </c>
      <c r="AK82" s="12">
        <v>0</v>
      </c>
      <c r="AL82" s="12">
        <f t="shared" si="54"/>
        <v>0</v>
      </c>
      <c r="AM82" s="13">
        <f t="shared" si="55"/>
        <v>0</v>
      </c>
    </row>
    <row r="83" spans="1:39" ht="12.75">
      <c r="A83" s="16"/>
      <c r="B83" s="5"/>
      <c r="C83" s="12" t="s">
        <v>59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f t="shared" si="58"/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f t="shared" si="52"/>
        <v>0</v>
      </c>
      <c r="AH83" s="12">
        <f t="shared" si="53"/>
        <v>0</v>
      </c>
      <c r="AI83" s="12">
        <v>0</v>
      </c>
      <c r="AJ83" s="12">
        <v>0</v>
      </c>
      <c r="AK83" s="12">
        <v>0</v>
      </c>
      <c r="AL83" s="12">
        <f t="shared" si="54"/>
        <v>0</v>
      </c>
      <c r="AM83" s="13">
        <f t="shared" si="55"/>
        <v>0</v>
      </c>
    </row>
    <row r="84" spans="1:39" s="2" customFormat="1" ht="12.75">
      <c r="A84" s="16"/>
      <c r="B84" s="5"/>
      <c r="C84" s="6" t="s">
        <v>60</v>
      </c>
      <c r="D84" s="6">
        <f>SUM(D81:D83)</f>
        <v>0</v>
      </c>
      <c r="E84" s="6">
        <f aca="true" t="shared" si="63" ref="E84:T84">SUM(E81:E83)</f>
        <v>0</v>
      </c>
      <c r="F84" s="6">
        <f t="shared" si="63"/>
        <v>0</v>
      </c>
      <c r="G84" s="6">
        <f t="shared" si="63"/>
        <v>0</v>
      </c>
      <c r="H84" s="6">
        <f t="shared" si="63"/>
        <v>0</v>
      </c>
      <c r="I84" s="6">
        <f t="shared" si="63"/>
        <v>0</v>
      </c>
      <c r="J84" s="6">
        <f t="shared" si="63"/>
        <v>0</v>
      </c>
      <c r="K84" s="6">
        <f t="shared" si="63"/>
        <v>0</v>
      </c>
      <c r="L84" s="6">
        <f t="shared" si="63"/>
        <v>0</v>
      </c>
      <c r="M84" s="6">
        <f t="shared" si="63"/>
        <v>0</v>
      </c>
      <c r="N84" s="6">
        <f t="shared" si="63"/>
        <v>0</v>
      </c>
      <c r="O84" s="6">
        <f t="shared" si="63"/>
        <v>0</v>
      </c>
      <c r="P84" s="6">
        <f t="shared" si="63"/>
        <v>0</v>
      </c>
      <c r="Q84" s="6">
        <f t="shared" si="63"/>
        <v>0</v>
      </c>
      <c r="R84" s="6">
        <f t="shared" si="63"/>
        <v>0</v>
      </c>
      <c r="S84" s="6">
        <f t="shared" si="63"/>
        <v>0</v>
      </c>
      <c r="T84" s="6">
        <f t="shared" si="63"/>
        <v>0</v>
      </c>
      <c r="U84" s="6">
        <f aca="true" t="shared" si="64" ref="U84:AB84">SUM(U81:U83)</f>
        <v>0</v>
      </c>
      <c r="V84" s="6">
        <f t="shared" si="64"/>
        <v>0</v>
      </c>
      <c r="W84" s="6">
        <f t="shared" si="64"/>
        <v>0</v>
      </c>
      <c r="X84" s="6">
        <f t="shared" si="64"/>
        <v>0</v>
      </c>
      <c r="Y84" s="6">
        <f t="shared" si="64"/>
        <v>0</v>
      </c>
      <c r="Z84" s="6">
        <v>0</v>
      </c>
      <c r="AA84" s="6">
        <f t="shared" si="64"/>
        <v>0</v>
      </c>
      <c r="AB84" s="6">
        <f t="shared" si="64"/>
        <v>0</v>
      </c>
      <c r="AC84" s="6">
        <f>SUM(AC81:AC83)</f>
        <v>0</v>
      </c>
      <c r="AD84" s="6">
        <f>SUM(AD81:AD83)</f>
        <v>51932.8</v>
      </c>
      <c r="AE84" s="6">
        <v>0</v>
      </c>
      <c r="AF84" s="6">
        <v>0</v>
      </c>
      <c r="AG84" s="6">
        <f t="shared" si="52"/>
        <v>0</v>
      </c>
      <c r="AH84" s="6">
        <f t="shared" si="53"/>
        <v>0</v>
      </c>
      <c r="AI84" s="6">
        <v>0</v>
      </c>
      <c r="AJ84" s="6">
        <v>0</v>
      </c>
      <c r="AK84" s="6">
        <v>0</v>
      </c>
      <c r="AL84" s="6">
        <f t="shared" si="54"/>
        <v>51932.8</v>
      </c>
      <c r="AM84" s="13">
        <f t="shared" si="55"/>
        <v>51932.8</v>
      </c>
    </row>
    <row r="85" spans="1:39" ht="12.75">
      <c r="A85" s="15" t="s">
        <v>21</v>
      </c>
      <c r="B85" s="5" t="s">
        <v>44</v>
      </c>
      <c r="C85" s="12" t="s">
        <v>57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2.4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24.9</v>
      </c>
      <c r="Z85" s="12">
        <v>0</v>
      </c>
      <c r="AA85" s="12">
        <v>0</v>
      </c>
      <c r="AB85" s="12">
        <f t="shared" si="58"/>
        <v>27.299999999999997</v>
      </c>
      <c r="AC85" s="12">
        <f>11585.9+987.4+1233.4+91.1+0.2+2106-1500+5000</f>
        <v>19504</v>
      </c>
      <c r="AD85" s="12">
        <f>16735-987.4+1544.9-91.1+1500-5000</f>
        <v>13701.400000000001</v>
      </c>
      <c r="AE85" s="12">
        <v>0</v>
      </c>
      <c r="AF85" s="12">
        <v>0</v>
      </c>
      <c r="AG85" s="12">
        <f t="shared" si="52"/>
        <v>0</v>
      </c>
      <c r="AH85" s="12">
        <f t="shared" si="53"/>
        <v>0</v>
      </c>
      <c r="AI85" s="12">
        <v>0</v>
      </c>
      <c r="AJ85" s="12">
        <v>0</v>
      </c>
      <c r="AK85" s="12">
        <v>0</v>
      </c>
      <c r="AL85" s="12">
        <f t="shared" si="54"/>
        <v>33205.4</v>
      </c>
      <c r="AM85" s="13">
        <f t="shared" si="55"/>
        <v>33232.700000000004</v>
      </c>
    </row>
    <row r="86" spans="1:39" ht="12.75">
      <c r="A86" s="16"/>
      <c r="B86" s="5"/>
      <c r="C86" s="12" t="s">
        <v>58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f t="shared" si="58"/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f aca="true" t="shared" si="65" ref="AG86:AG96">AE86+AF86</f>
        <v>0</v>
      </c>
      <c r="AH86" s="12">
        <f aca="true" t="shared" si="66" ref="AH86:AH96">AI86+AJ86+AK86</f>
        <v>0</v>
      </c>
      <c r="AI86" s="12">
        <v>0</v>
      </c>
      <c r="AJ86" s="12">
        <v>0</v>
      </c>
      <c r="AK86" s="12">
        <v>0</v>
      </c>
      <c r="AL86" s="12">
        <f aca="true" t="shared" si="67" ref="AL86:AL96">AH86+AG86+AD86+AC86</f>
        <v>0</v>
      </c>
      <c r="AM86" s="13">
        <f aca="true" t="shared" si="68" ref="AM86:AM96">AL86+AB86</f>
        <v>0</v>
      </c>
    </row>
    <row r="87" spans="1:39" ht="12.75">
      <c r="A87" s="16"/>
      <c r="B87" s="5"/>
      <c r="C87" s="12" t="s">
        <v>59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f t="shared" si="58"/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f t="shared" si="65"/>
        <v>0</v>
      </c>
      <c r="AH87" s="12">
        <f t="shared" si="66"/>
        <v>0</v>
      </c>
      <c r="AI87" s="12">
        <v>0</v>
      </c>
      <c r="AJ87" s="12">
        <v>0</v>
      </c>
      <c r="AK87" s="12">
        <v>0</v>
      </c>
      <c r="AL87" s="12">
        <f t="shared" si="67"/>
        <v>0</v>
      </c>
      <c r="AM87" s="13">
        <f t="shared" si="68"/>
        <v>0</v>
      </c>
    </row>
    <row r="88" spans="1:39" s="2" customFormat="1" ht="12.75">
      <c r="A88" s="16"/>
      <c r="B88" s="5"/>
      <c r="C88" s="6" t="s">
        <v>60</v>
      </c>
      <c r="D88" s="6">
        <f>SUM(D85:D87)</f>
        <v>0</v>
      </c>
      <c r="E88" s="6">
        <f aca="true" t="shared" si="69" ref="E88:T88">SUM(E85:E87)</f>
        <v>0</v>
      </c>
      <c r="F88" s="6">
        <f t="shared" si="69"/>
        <v>0</v>
      </c>
      <c r="G88" s="6">
        <f t="shared" si="69"/>
        <v>0</v>
      </c>
      <c r="H88" s="6">
        <f t="shared" si="69"/>
        <v>0</v>
      </c>
      <c r="I88" s="6">
        <f t="shared" si="69"/>
        <v>0</v>
      </c>
      <c r="J88" s="6">
        <f t="shared" si="69"/>
        <v>0</v>
      </c>
      <c r="K88" s="6">
        <f t="shared" si="69"/>
        <v>0</v>
      </c>
      <c r="L88" s="6">
        <f t="shared" si="69"/>
        <v>0</v>
      </c>
      <c r="M88" s="6">
        <f t="shared" si="69"/>
        <v>0</v>
      </c>
      <c r="N88" s="6">
        <f t="shared" si="69"/>
        <v>2.4</v>
      </c>
      <c r="O88" s="6">
        <f t="shared" si="69"/>
        <v>0</v>
      </c>
      <c r="P88" s="6">
        <f t="shared" si="69"/>
        <v>0</v>
      </c>
      <c r="Q88" s="6">
        <f t="shared" si="69"/>
        <v>0</v>
      </c>
      <c r="R88" s="6">
        <f t="shared" si="69"/>
        <v>0</v>
      </c>
      <c r="S88" s="6">
        <f t="shared" si="69"/>
        <v>0</v>
      </c>
      <c r="T88" s="6">
        <f t="shared" si="69"/>
        <v>0</v>
      </c>
      <c r="U88" s="6">
        <f aca="true" t="shared" si="70" ref="U88:AB88">SUM(U85:U87)</f>
        <v>0</v>
      </c>
      <c r="V88" s="6">
        <f t="shared" si="70"/>
        <v>0</v>
      </c>
      <c r="W88" s="6">
        <f t="shared" si="70"/>
        <v>0</v>
      </c>
      <c r="X88" s="6">
        <f t="shared" si="70"/>
        <v>0</v>
      </c>
      <c r="Y88" s="6">
        <f t="shared" si="70"/>
        <v>24.9</v>
      </c>
      <c r="Z88" s="6">
        <v>0</v>
      </c>
      <c r="AA88" s="6">
        <f t="shared" si="70"/>
        <v>0</v>
      </c>
      <c r="AB88" s="6">
        <f t="shared" si="70"/>
        <v>27.299999999999997</v>
      </c>
      <c r="AC88" s="6">
        <f>SUM(AC85:AC87)</f>
        <v>19504</v>
      </c>
      <c r="AD88" s="6">
        <f>SUM(AD85:AD87)</f>
        <v>13701.400000000001</v>
      </c>
      <c r="AE88" s="6">
        <v>0</v>
      </c>
      <c r="AF88" s="6">
        <v>0</v>
      </c>
      <c r="AG88" s="6">
        <f t="shared" si="65"/>
        <v>0</v>
      </c>
      <c r="AH88" s="6">
        <f t="shared" si="66"/>
        <v>0</v>
      </c>
      <c r="AI88" s="6">
        <v>0</v>
      </c>
      <c r="AJ88" s="6">
        <v>0</v>
      </c>
      <c r="AK88" s="6">
        <v>0</v>
      </c>
      <c r="AL88" s="6">
        <f t="shared" si="67"/>
        <v>33205.4</v>
      </c>
      <c r="AM88" s="13">
        <f t="shared" si="68"/>
        <v>33232.700000000004</v>
      </c>
    </row>
    <row r="89" spans="1:39" ht="12.75">
      <c r="A89" s="15" t="s">
        <v>22</v>
      </c>
      <c r="B89" s="5" t="s">
        <v>45</v>
      </c>
      <c r="C89" s="12" t="s">
        <v>57</v>
      </c>
      <c r="D89" s="12">
        <v>189.9</v>
      </c>
      <c r="E89" s="12">
        <v>16.1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2.4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770.9</v>
      </c>
      <c r="V89" s="12">
        <v>0</v>
      </c>
      <c r="W89" s="12">
        <v>0</v>
      </c>
      <c r="X89" s="12">
        <v>0</v>
      </c>
      <c r="Y89" s="12">
        <v>85.2</v>
      </c>
      <c r="Z89" s="12">
        <v>2934.7</v>
      </c>
      <c r="AA89" s="12">
        <v>1.7</v>
      </c>
      <c r="AB89" s="12">
        <f aca="true" t="shared" si="71" ref="AB89:AB95">SUM(D89:AA89)</f>
        <v>4000.8999999999996</v>
      </c>
      <c r="AC89" s="12">
        <f>14183.8+1769.4+4705.7-0.1+2226-3000-2000+10000</f>
        <v>27884.8</v>
      </c>
      <c r="AD89" s="12">
        <f>29989.8-1769.4+5974.6+3000-10000</f>
        <v>27195</v>
      </c>
      <c r="AE89" s="12">
        <v>0</v>
      </c>
      <c r="AF89" s="12">
        <v>0</v>
      </c>
      <c r="AG89" s="12">
        <f t="shared" si="65"/>
        <v>0</v>
      </c>
      <c r="AH89" s="12">
        <f t="shared" si="66"/>
        <v>0</v>
      </c>
      <c r="AI89" s="12">
        <v>0</v>
      </c>
      <c r="AJ89" s="12">
        <v>0</v>
      </c>
      <c r="AK89" s="12">
        <v>0</v>
      </c>
      <c r="AL89" s="12">
        <f t="shared" si="67"/>
        <v>55079.8</v>
      </c>
      <c r="AM89" s="13">
        <f t="shared" si="68"/>
        <v>59080.700000000004</v>
      </c>
    </row>
    <row r="90" spans="1:39" ht="12.75">
      <c r="A90" s="16"/>
      <c r="B90" s="5"/>
      <c r="C90" s="12" t="s">
        <v>58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f t="shared" si="71"/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f t="shared" si="65"/>
        <v>0</v>
      </c>
      <c r="AH90" s="12">
        <f t="shared" si="66"/>
        <v>0</v>
      </c>
      <c r="AI90" s="12">
        <v>0</v>
      </c>
      <c r="AJ90" s="12">
        <v>0</v>
      </c>
      <c r="AK90" s="12">
        <v>0</v>
      </c>
      <c r="AL90" s="12">
        <f t="shared" si="67"/>
        <v>0</v>
      </c>
      <c r="AM90" s="13">
        <f t="shared" si="68"/>
        <v>0</v>
      </c>
    </row>
    <row r="91" spans="1:39" ht="12.75">
      <c r="A91" s="16"/>
      <c r="B91" s="5"/>
      <c r="C91" s="12" t="s">
        <v>59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f t="shared" si="71"/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f t="shared" si="65"/>
        <v>0</v>
      </c>
      <c r="AH91" s="12">
        <f t="shared" si="66"/>
        <v>0</v>
      </c>
      <c r="AI91" s="12">
        <v>0</v>
      </c>
      <c r="AJ91" s="12">
        <v>0</v>
      </c>
      <c r="AK91" s="12">
        <v>0</v>
      </c>
      <c r="AL91" s="12">
        <f t="shared" si="67"/>
        <v>0</v>
      </c>
      <c r="AM91" s="13">
        <f t="shared" si="68"/>
        <v>0</v>
      </c>
    </row>
    <row r="92" spans="1:39" s="2" customFormat="1" ht="12.75">
      <c r="A92" s="16"/>
      <c r="B92" s="5"/>
      <c r="C92" s="6" t="s">
        <v>60</v>
      </c>
      <c r="D92" s="6">
        <f>SUM(D89:D91)</f>
        <v>189.9</v>
      </c>
      <c r="E92" s="6">
        <f aca="true" t="shared" si="72" ref="E92:T92">SUM(E89:E91)</f>
        <v>16.1</v>
      </c>
      <c r="F92" s="6">
        <f t="shared" si="72"/>
        <v>0</v>
      </c>
      <c r="G92" s="6">
        <f t="shared" si="72"/>
        <v>0</v>
      </c>
      <c r="H92" s="6">
        <f t="shared" si="72"/>
        <v>0</v>
      </c>
      <c r="I92" s="6">
        <f t="shared" si="72"/>
        <v>0</v>
      </c>
      <c r="J92" s="6">
        <f t="shared" si="72"/>
        <v>0</v>
      </c>
      <c r="K92" s="6">
        <f t="shared" si="72"/>
        <v>0</v>
      </c>
      <c r="L92" s="6">
        <f t="shared" si="72"/>
        <v>0</v>
      </c>
      <c r="M92" s="6">
        <f t="shared" si="72"/>
        <v>0</v>
      </c>
      <c r="N92" s="6">
        <f t="shared" si="72"/>
        <v>2.4</v>
      </c>
      <c r="O92" s="6">
        <f t="shared" si="72"/>
        <v>0</v>
      </c>
      <c r="P92" s="6">
        <f t="shared" si="72"/>
        <v>0</v>
      </c>
      <c r="Q92" s="6">
        <f t="shared" si="72"/>
        <v>0</v>
      </c>
      <c r="R92" s="6">
        <f t="shared" si="72"/>
        <v>0</v>
      </c>
      <c r="S92" s="6">
        <f t="shared" si="72"/>
        <v>0</v>
      </c>
      <c r="T92" s="6">
        <f t="shared" si="72"/>
        <v>0</v>
      </c>
      <c r="U92" s="6">
        <f aca="true" t="shared" si="73" ref="U92:AB92">SUM(U89:U91)</f>
        <v>770.9</v>
      </c>
      <c r="V92" s="6">
        <f t="shared" si="73"/>
        <v>0</v>
      </c>
      <c r="W92" s="6">
        <f t="shared" si="73"/>
        <v>0</v>
      </c>
      <c r="X92" s="6">
        <f t="shared" si="73"/>
        <v>0</v>
      </c>
      <c r="Y92" s="6">
        <f t="shared" si="73"/>
        <v>85.2</v>
      </c>
      <c r="Z92" s="6">
        <f>SUM(Z89:Z91)</f>
        <v>2934.7</v>
      </c>
      <c r="AA92" s="6">
        <f t="shared" si="73"/>
        <v>1.7</v>
      </c>
      <c r="AB92" s="6">
        <f t="shared" si="73"/>
        <v>4000.8999999999996</v>
      </c>
      <c r="AC92" s="6">
        <f>SUM(AC89:AC91)</f>
        <v>27884.8</v>
      </c>
      <c r="AD92" s="6">
        <f>SUM(AD89:AD91)</f>
        <v>27195</v>
      </c>
      <c r="AE92" s="6">
        <v>0</v>
      </c>
      <c r="AF92" s="6">
        <v>0</v>
      </c>
      <c r="AG92" s="6">
        <f t="shared" si="65"/>
        <v>0</v>
      </c>
      <c r="AH92" s="6">
        <f t="shared" si="66"/>
        <v>0</v>
      </c>
      <c r="AI92" s="6">
        <v>0</v>
      </c>
      <c r="AJ92" s="6">
        <v>0</v>
      </c>
      <c r="AK92" s="6">
        <v>0</v>
      </c>
      <c r="AL92" s="6">
        <f t="shared" si="67"/>
        <v>55079.8</v>
      </c>
      <c r="AM92" s="13">
        <f t="shared" si="68"/>
        <v>59080.700000000004</v>
      </c>
    </row>
    <row r="93" spans="1:39" ht="12.75">
      <c r="A93" s="15" t="s">
        <v>23</v>
      </c>
      <c r="B93" s="5" t="s">
        <v>72</v>
      </c>
      <c r="C93" s="12" t="s">
        <v>57</v>
      </c>
      <c r="D93" s="12">
        <v>10</v>
      </c>
      <c r="E93" s="12">
        <v>7.6</v>
      </c>
      <c r="F93" s="12">
        <v>0.8</v>
      </c>
      <c r="G93" s="12">
        <v>3.2</v>
      </c>
      <c r="H93" s="12">
        <v>0</v>
      </c>
      <c r="I93" s="12">
        <v>43.9</v>
      </c>
      <c r="J93" s="12">
        <v>0</v>
      </c>
      <c r="K93" s="12">
        <v>0</v>
      </c>
      <c r="L93" s="12">
        <v>0</v>
      </c>
      <c r="M93" s="12">
        <v>0</v>
      </c>
      <c r="N93" s="12">
        <v>6.5</v>
      </c>
      <c r="O93" s="12">
        <v>4.8</v>
      </c>
      <c r="P93" s="12">
        <v>0</v>
      </c>
      <c r="Q93" s="12">
        <v>0</v>
      </c>
      <c r="R93" s="12">
        <v>153</v>
      </c>
      <c r="S93" s="12">
        <v>232.3</v>
      </c>
      <c r="T93" s="12">
        <v>36.4</v>
      </c>
      <c r="U93" s="12">
        <v>37.2</v>
      </c>
      <c r="V93" s="12">
        <v>0</v>
      </c>
      <c r="W93" s="12">
        <v>1419</v>
      </c>
      <c r="X93" s="12">
        <v>2262.4</v>
      </c>
      <c r="Y93" s="12">
        <v>26.6</v>
      </c>
      <c r="Z93" s="12">
        <v>428.5</v>
      </c>
      <c r="AA93" s="12">
        <v>1869.9</v>
      </c>
      <c r="AB93" s="12">
        <f t="shared" si="71"/>
        <v>6542.1</v>
      </c>
      <c r="AC93" s="12">
        <f>31084.1+5628.3-2000+121+2168-3000</f>
        <v>34001.4</v>
      </c>
      <c r="AD93" s="12">
        <v>2778.7</v>
      </c>
      <c r="AE93" s="12">
        <v>0</v>
      </c>
      <c r="AF93" s="12">
        <v>0</v>
      </c>
      <c r="AG93" s="12">
        <f t="shared" si="65"/>
        <v>0</v>
      </c>
      <c r="AH93" s="12">
        <f t="shared" si="66"/>
        <v>0</v>
      </c>
      <c r="AI93" s="12">
        <v>0</v>
      </c>
      <c r="AJ93" s="12">
        <v>0</v>
      </c>
      <c r="AK93" s="12">
        <v>0</v>
      </c>
      <c r="AL93" s="12">
        <f t="shared" si="67"/>
        <v>36780.1</v>
      </c>
      <c r="AM93" s="13">
        <f t="shared" si="68"/>
        <v>43322.2</v>
      </c>
    </row>
    <row r="94" spans="1:39" ht="12.75">
      <c r="A94" s="16"/>
      <c r="B94" s="5"/>
      <c r="C94" s="12" t="s">
        <v>58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20.9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2420.7</v>
      </c>
      <c r="AB94" s="12">
        <f t="shared" si="71"/>
        <v>2441.6</v>
      </c>
      <c r="AC94" s="12">
        <v>18.400000000001455</v>
      </c>
      <c r="AD94" s="12">
        <v>0</v>
      </c>
      <c r="AE94" s="12">
        <v>0</v>
      </c>
      <c r="AF94" s="12">
        <v>0</v>
      </c>
      <c r="AG94" s="12">
        <f t="shared" si="65"/>
        <v>0</v>
      </c>
      <c r="AH94" s="12">
        <f t="shared" si="66"/>
        <v>0</v>
      </c>
      <c r="AI94" s="12">
        <v>0</v>
      </c>
      <c r="AJ94" s="12">
        <v>0</v>
      </c>
      <c r="AK94" s="12">
        <v>0</v>
      </c>
      <c r="AL94" s="12">
        <f t="shared" si="67"/>
        <v>18.400000000001455</v>
      </c>
      <c r="AM94" s="13">
        <f t="shared" si="68"/>
        <v>2460.0000000000014</v>
      </c>
    </row>
    <row r="95" spans="1:39" ht="12.75">
      <c r="A95" s="14"/>
      <c r="B95" s="5"/>
      <c r="C95" s="12" t="s">
        <v>59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f t="shared" si="71"/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f t="shared" si="65"/>
        <v>0</v>
      </c>
      <c r="AH95" s="12">
        <f t="shared" si="66"/>
        <v>0</v>
      </c>
      <c r="AI95" s="12">
        <v>0</v>
      </c>
      <c r="AJ95" s="12">
        <v>0</v>
      </c>
      <c r="AK95" s="12">
        <v>0</v>
      </c>
      <c r="AL95" s="12">
        <f t="shared" si="67"/>
        <v>0</v>
      </c>
      <c r="AM95" s="13">
        <f t="shared" si="68"/>
        <v>0</v>
      </c>
    </row>
    <row r="96" spans="1:39" s="2" customFormat="1" ht="12.75">
      <c r="A96" s="14"/>
      <c r="B96" s="5"/>
      <c r="C96" s="6" t="s">
        <v>60</v>
      </c>
      <c r="D96" s="6">
        <f>SUM(D93:D95)</f>
        <v>10</v>
      </c>
      <c r="E96" s="6">
        <f aca="true" t="shared" si="74" ref="E96:T96">SUM(E93:E95)</f>
        <v>7.6</v>
      </c>
      <c r="F96" s="6">
        <f t="shared" si="74"/>
        <v>0.8</v>
      </c>
      <c r="G96" s="6">
        <f t="shared" si="74"/>
        <v>3.2</v>
      </c>
      <c r="H96" s="6">
        <f t="shared" si="74"/>
        <v>0</v>
      </c>
      <c r="I96" s="6">
        <f t="shared" si="74"/>
        <v>43.9</v>
      </c>
      <c r="J96" s="6">
        <f t="shared" si="74"/>
        <v>0</v>
      </c>
      <c r="K96" s="6">
        <f t="shared" si="74"/>
        <v>0</v>
      </c>
      <c r="L96" s="6">
        <f t="shared" si="74"/>
        <v>0</v>
      </c>
      <c r="M96" s="6">
        <f t="shared" si="74"/>
        <v>0</v>
      </c>
      <c r="N96" s="6">
        <f t="shared" si="74"/>
        <v>6.5</v>
      </c>
      <c r="O96" s="6">
        <f t="shared" si="74"/>
        <v>4.8</v>
      </c>
      <c r="P96" s="6">
        <f t="shared" si="74"/>
        <v>0</v>
      </c>
      <c r="Q96" s="6">
        <f t="shared" si="74"/>
        <v>0</v>
      </c>
      <c r="R96" s="6">
        <f t="shared" si="74"/>
        <v>153</v>
      </c>
      <c r="S96" s="6">
        <f t="shared" si="74"/>
        <v>253.20000000000002</v>
      </c>
      <c r="T96" s="6">
        <f t="shared" si="74"/>
        <v>36.4</v>
      </c>
      <c r="U96" s="6">
        <f aca="true" t="shared" si="75" ref="U96:AB96">SUM(U93:U95)</f>
        <v>37.2</v>
      </c>
      <c r="V96" s="6">
        <f t="shared" si="75"/>
        <v>0</v>
      </c>
      <c r="W96" s="6">
        <f t="shared" si="75"/>
        <v>1419</v>
      </c>
      <c r="X96" s="6">
        <f t="shared" si="75"/>
        <v>2262.4</v>
      </c>
      <c r="Y96" s="6">
        <f t="shared" si="75"/>
        <v>26.6</v>
      </c>
      <c r="Z96" s="6">
        <f>SUM(Z93:Z95)</f>
        <v>428.5</v>
      </c>
      <c r="AA96" s="6">
        <f t="shared" si="75"/>
        <v>4290.6</v>
      </c>
      <c r="AB96" s="6">
        <f t="shared" si="75"/>
        <v>8983.7</v>
      </c>
      <c r="AC96" s="6">
        <f>SUM(AC93:AC95)</f>
        <v>34019.8</v>
      </c>
      <c r="AD96" s="6">
        <v>2778.7</v>
      </c>
      <c r="AE96" s="6">
        <v>0</v>
      </c>
      <c r="AF96" s="6">
        <v>0</v>
      </c>
      <c r="AG96" s="6">
        <f t="shared" si="65"/>
        <v>0</v>
      </c>
      <c r="AH96" s="6">
        <f t="shared" si="66"/>
        <v>0</v>
      </c>
      <c r="AI96" s="6">
        <v>0</v>
      </c>
      <c r="AJ96" s="6">
        <v>0</v>
      </c>
      <c r="AK96" s="6">
        <v>0</v>
      </c>
      <c r="AL96" s="6">
        <f t="shared" si="67"/>
        <v>36798.5</v>
      </c>
      <c r="AM96" s="13">
        <f t="shared" si="68"/>
        <v>45782.2</v>
      </c>
    </row>
    <row r="97" spans="1:39" ht="12.75">
      <c r="A97" s="14"/>
      <c r="B97" s="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>
        <v>0</v>
      </c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3"/>
    </row>
    <row r="98" spans="1:39" ht="12.75">
      <c r="A98" s="14"/>
      <c r="B98" s="5" t="s">
        <v>73</v>
      </c>
      <c r="C98" s="12" t="s">
        <v>57</v>
      </c>
      <c r="D98" s="12">
        <f aca="true" t="shared" si="76" ref="D98:S101">D5+D9+D13+D17+D21+D25+D29+D33+D37+D41+D45+D49+D53+D57+D61+D65+D69+D73+D77+D81+D85+D89+D93</f>
        <v>29905.3</v>
      </c>
      <c r="E98" s="12">
        <f t="shared" si="76"/>
        <v>31937.5</v>
      </c>
      <c r="F98" s="12">
        <f t="shared" si="76"/>
        <v>18956.999999999996</v>
      </c>
      <c r="G98" s="12">
        <f t="shared" si="76"/>
        <v>8386.1</v>
      </c>
      <c r="H98" s="12">
        <f t="shared" si="76"/>
        <v>3954.8</v>
      </c>
      <c r="I98" s="12">
        <f t="shared" si="76"/>
        <v>15738.4</v>
      </c>
      <c r="J98" s="12">
        <f t="shared" si="76"/>
        <v>8304.699999999999</v>
      </c>
      <c r="K98" s="12">
        <f t="shared" si="76"/>
        <v>13355</v>
      </c>
      <c r="L98" s="12">
        <f t="shared" si="76"/>
        <v>16178.3</v>
      </c>
      <c r="M98" s="12">
        <f t="shared" si="76"/>
        <v>8300.4</v>
      </c>
      <c r="N98" s="12">
        <f t="shared" si="76"/>
        <v>33297.99999999999</v>
      </c>
      <c r="O98" s="12">
        <f t="shared" si="76"/>
        <v>57801.400000000016</v>
      </c>
      <c r="P98" s="12">
        <f t="shared" si="76"/>
        <v>10673.199999999999</v>
      </c>
      <c r="Q98" s="12">
        <f t="shared" si="76"/>
        <v>2517.6000000000004</v>
      </c>
      <c r="R98" s="12">
        <f t="shared" si="76"/>
        <v>42578.200000000004</v>
      </c>
      <c r="S98" s="12">
        <f t="shared" si="76"/>
        <v>44671.90000000001</v>
      </c>
      <c r="T98" s="12">
        <f aca="true" t="shared" si="77" ref="T98:AB101">T5+T9+T13+T17+T21+T25+T29+T33+T37+T41+T45+T49+T53+T57+T61+T65+T69+T73+T77+T81+T85+T89+T93</f>
        <v>18551.4</v>
      </c>
      <c r="U98" s="12">
        <f t="shared" si="77"/>
        <v>16252.6</v>
      </c>
      <c r="V98" s="12">
        <f t="shared" si="77"/>
        <v>58324</v>
      </c>
      <c r="W98" s="12">
        <f t="shared" si="77"/>
        <v>20618.9</v>
      </c>
      <c r="X98" s="12">
        <f t="shared" si="77"/>
        <v>15088.1</v>
      </c>
      <c r="Y98" s="12">
        <f t="shared" si="77"/>
        <v>3632.7</v>
      </c>
      <c r="Z98" s="12">
        <f t="shared" si="77"/>
        <v>7777.099999999999</v>
      </c>
      <c r="AA98" s="12">
        <f t="shared" si="77"/>
        <v>11178.7</v>
      </c>
      <c r="AB98" s="12">
        <f t="shared" si="77"/>
        <v>497981.30000000005</v>
      </c>
      <c r="AC98" s="12">
        <f aca="true" t="shared" si="78" ref="AC98:AK101">SUM(AC5+AC9+AC13+AC17+AC21+AC25+AC29+AC33+AC37+AC41+AC45+AC49+AC53+AC57+AC61+AC65+AC69+AC73+AC77+AC81+AC85+AC89+AC93)</f>
        <v>339348.2</v>
      </c>
      <c r="AD98" s="12">
        <f t="shared" si="78"/>
        <v>95607.90000000001</v>
      </c>
      <c r="AE98" s="12">
        <f t="shared" si="78"/>
        <v>133777.8</v>
      </c>
      <c r="AF98" s="12">
        <f t="shared" si="78"/>
        <v>20727.600000000002</v>
      </c>
      <c r="AG98" s="12">
        <f t="shared" si="78"/>
        <v>154505.40000000002</v>
      </c>
      <c r="AH98" s="12">
        <f t="shared" si="78"/>
        <v>736960.8</v>
      </c>
      <c r="AI98" s="12">
        <f t="shared" si="78"/>
        <v>437387.5</v>
      </c>
      <c r="AJ98" s="12">
        <f t="shared" si="78"/>
        <v>256500.6</v>
      </c>
      <c r="AK98" s="12">
        <f t="shared" si="78"/>
        <v>43072.700000000004</v>
      </c>
      <c r="AL98" s="12">
        <f>AH98+AG98+AD98+AC98</f>
        <v>1326422.3</v>
      </c>
      <c r="AM98" s="13">
        <f>AM5+AM9+AM13+AM17+AM21+AM25+AM29+AM33+AM37+AM41+AM45+AM49+AM53+AM57+AM61+AM65+AM69+AM73+AM77+AM81+AM85+AM89+AM93</f>
        <v>1824403.5999999996</v>
      </c>
    </row>
    <row r="99" spans="1:39" ht="12.75">
      <c r="A99" s="14"/>
      <c r="B99" s="5"/>
      <c r="C99" s="12" t="s">
        <v>58</v>
      </c>
      <c r="D99" s="12">
        <f t="shared" si="76"/>
        <v>10657.6</v>
      </c>
      <c r="E99" s="12">
        <f t="shared" si="76"/>
        <v>22609.4</v>
      </c>
      <c r="F99" s="12">
        <f t="shared" si="76"/>
        <v>6832.5</v>
      </c>
      <c r="G99" s="12">
        <f t="shared" si="76"/>
        <v>7181.8</v>
      </c>
      <c r="H99" s="12">
        <f t="shared" si="76"/>
        <v>8623.499999999998</v>
      </c>
      <c r="I99" s="12">
        <f t="shared" si="76"/>
        <v>20966.799999999996</v>
      </c>
      <c r="J99" s="12">
        <f t="shared" si="76"/>
        <v>19066.800000000003</v>
      </c>
      <c r="K99" s="12">
        <f t="shared" si="76"/>
        <v>11043.999999999998</v>
      </c>
      <c r="L99" s="12">
        <f t="shared" si="76"/>
        <v>54902.69999999999</v>
      </c>
      <c r="M99" s="12">
        <f t="shared" si="76"/>
        <v>11177.7</v>
      </c>
      <c r="N99" s="12">
        <f t="shared" si="76"/>
        <v>39331.899999999994</v>
      </c>
      <c r="O99" s="12">
        <f t="shared" si="76"/>
        <v>55840.200000000004</v>
      </c>
      <c r="P99" s="12">
        <f t="shared" si="76"/>
        <v>17029</v>
      </c>
      <c r="Q99" s="12">
        <f t="shared" si="76"/>
        <v>830.1</v>
      </c>
      <c r="R99" s="12">
        <f t="shared" si="76"/>
        <v>31617.6</v>
      </c>
      <c r="S99" s="12">
        <f t="shared" si="76"/>
        <v>25244.8</v>
      </c>
      <c r="T99" s="12">
        <f t="shared" si="77"/>
        <v>14354.899999999998</v>
      </c>
      <c r="U99" s="12">
        <f t="shared" si="77"/>
        <v>3908.7999999999997</v>
      </c>
      <c r="V99" s="12">
        <f t="shared" si="77"/>
        <v>0</v>
      </c>
      <c r="W99" s="12">
        <f t="shared" si="77"/>
        <v>6147.4</v>
      </c>
      <c r="X99" s="12">
        <f t="shared" si="77"/>
        <v>3569.2</v>
      </c>
      <c r="Y99" s="12">
        <f t="shared" si="77"/>
        <v>1740.7</v>
      </c>
      <c r="Z99" s="12">
        <f t="shared" si="77"/>
        <v>5873.2</v>
      </c>
      <c r="AA99" s="12">
        <f t="shared" si="77"/>
        <v>4964.5</v>
      </c>
      <c r="AB99" s="12">
        <f t="shared" si="77"/>
        <v>383515.1</v>
      </c>
      <c r="AC99" s="12">
        <f t="shared" si="78"/>
        <v>173409.30000000002</v>
      </c>
      <c r="AD99" s="12">
        <f t="shared" si="78"/>
        <v>0</v>
      </c>
      <c r="AE99" s="12">
        <f t="shared" si="78"/>
        <v>48394.299999999996</v>
      </c>
      <c r="AF99" s="12">
        <f t="shared" si="78"/>
        <v>0</v>
      </c>
      <c r="AG99" s="12">
        <f t="shared" si="78"/>
        <v>48394.299999999996</v>
      </c>
      <c r="AH99" s="12">
        <f t="shared" si="78"/>
        <v>0</v>
      </c>
      <c r="AI99" s="12">
        <f t="shared" si="78"/>
        <v>0</v>
      </c>
      <c r="AJ99" s="12">
        <f t="shared" si="78"/>
        <v>0</v>
      </c>
      <c r="AK99" s="12">
        <f t="shared" si="78"/>
        <v>0</v>
      </c>
      <c r="AL99" s="12">
        <f>AH99+AG99+AD99+AC99</f>
        <v>221803.6</v>
      </c>
      <c r="AM99" s="13">
        <f>AM6+AM10+AM14+AM18+AM22+AM26+AM30+AM34+AM38+AM42+AM46+AM50+AM54+AM58+AM62+AM66+AM70+AM74+AM78+AM82+AM86+AM90+AM94</f>
        <v>605318.7000000001</v>
      </c>
    </row>
    <row r="100" spans="1:39" ht="12.75">
      <c r="A100" s="14"/>
      <c r="B100" s="5"/>
      <c r="C100" s="12" t="s">
        <v>59</v>
      </c>
      <c r="D100" s="12">
        <f t="shared" si="76"/>
        <v>4259.8</v>
      </c>
      <c r="E100" s="12">
        <f t="shared" si="76"/>
        <v>3758</v>
      </c>
      <c r="F100" s="12">
        <f t="shared" si="76"/>
        <v>1973.2</v>
      </c>
      <c r="G100" s="12">
        <f t="shared" si="76"/>
        <v>1601.9</v>
      </c>
      <c r="H100" s="12">
        <f t="shared" si="76"/>
        <v>1263.3999999999999</v>
      </c>
      <c r="I100" s="12">
        <f t="shared" si="76"/>
        <v>8501.6</v>
      </c>
      <c r="J100" s="12">
        <f t="shared" si="76"/>
        <v>12362.199999999999</v>
      </c>
      <c r="K100" s="12">
        <f t="shared" si="76"/>
        <v>2775.2</v>
      </c>
      <c r="L100" s="12">
        <f t="shared" si="76"/>
        <v>20318.800000000007</v>
      </c>
      <c r="M100" s="12">
        <f t="shared" si="76"/>
        <v>3632.9999999999995</v>
      </c>
      <c r="N100" s="12">
        <f t="shared" si="76"/>
        <v>23550</v>
      </c>
      <c r="O100" s="12">
        <f t="shared" si="76"/>
        <v>34243.9</v>
      </c>
      <c r="P100" s="12">
        <f t="shared" si="76"/>
        <v>3858.7000000000003</v>
      </c>
      <c r="Q100" s="12">
        <f t="shared" si="76"/>
        <v>41.5</v>
      </c>
      <c r="R100" s="12">
        <f t="shared" si="76"/>
        <v>635.3</v>
      </c>
      <c r="S100" s="12">
        <f t="shared" si="76"/>
        <v>1360.5</v>
      </c>
      <c r="T100" s="12">
        <f t="shared" si="77"/>
        <v>348.3</v>
      </c>
      <c r="U100" s="12">
        <f t="shared" si="77"/>
        <v>34.1</v>
      </c>
      <c r="V100" s="12">
        <f t="shared" si="77"/>
        <v>0</v>
      </c>
      <c r="W100" s="12">
        <f t="shared" si="77"/>
        <v>209</v>
      </c>
      <c r="X100" s="12">
        <f t="shared" si="77"/>
        <v>33.4</v>
      </c>
      <c r="Y100" s="12">
        <f t="shared" si="77"/>
        <v>21</v>
      </c>
      <c r="Z100" s="12">
        <f t="shared" si="77"/>
        <v>1652</v>
      </c>
      <c r="AA100" s="12">
        <f t="shared" si="77"/>
        <v>339.09999999999997</v>
      </c>
      <c r="AB100" s="12">
        <f t="shared" si="77"/>
        <v>126773.9</v>
      </c>
      <c r="AC100" s="12">
        <f t="shared" si="78"/>
        <v>12919.800000000001</v>
      </c>
      <c r="AD100" s="12">
        <f t="shared" si="78"/>
        <v>0</v>
      </c>
      <c r="AE100" s="12">
        <f t="shared" si="78"/>
        <v>23443.199999999997</v>
      </c>
      <c r="AF100" s="12">
        <f t="shared" si="78"/>
        <v>0</v>
      </c>
      <c r="AG100" s="12">
        <f t="shared" si="78"/>
        <v>23443.199999999997</v>
      </c>
      <c r="AH100" s="12">
        <f t="shared" si="78"/>
        <v>0</v>
      </c>
      <c r="AI100" s="12">
        <f t="shared" si="78"/>
        <v>0</v>
      </c>
      <c r="AJ100" s="12">
        <f t="shared" si="78"/>
        <v>0</v>
      </c>
      <c r="AK100" s="12">
        <f t="shared" si="78"/>
        <v>0</v>
      </c>
      <c r="AL100" s="12">
        <f>AH100+AG100+AD100+AC100</f>
        <v>36363</v>
      </c>
      <c r="AM100" s="13">
        <f>AM7+AM11+AM15+AM19+AM23+AM27+AM31+AM35+AM39+AM43+AM47+AM51+AM55+AM59+AM63+AM67+AM71+AM75+AM79+AM83+AM87+AM91+AM95</f>
        <v>163136.89999999997</v>
      </c>
    </row>
    <row r="101" spans="1:39" s="2" customFormat="1" ht="12.75">
      <c r="A101" s="14"/>
      <c r="B101" s="5" t="s">
        <v>73</v>
      </c>
      <c r="C101" s="6"/>
      <c r="D101" s="6">
        <f t="shared" si="76"/>
        <v>44822.7</v>
      </c>
      <c r="E101" s="6">
        <f t="shared" si="76"/>
        <v>58304.9</v>
      </c>
      <c r="F101" s="6">
        <f t="shared" si="76"/>
        <v>27762.7</v>
      </c>
      <c r="G101" s="6">
        <f t="shared" si="76"/>
        <v>17169.8</v>
      </c>
      <c r="H101" s="6">
        <f t="shared" si="76"/>
        <v>13841.7</v>
      </c>
      <c r="I101" s="6">
        <f t="shared" si="76"/>
        <v>45206.8</v>
      </c>
      <c r="J101" s="6">
        <f t="shared" si="76"/>
        <v>39733.7</v>
      </c>
      <c r="K101" s="6">
        <f t="shared" si="76"/>
        <v>27174.199999999997</v>
      </c>
      <c r="L101" s="6">
        <f t="shared" si="76"/>
        <v>91399.79999999999</v>
      </c>
      <c r="M101" s="6">
        <f t="shared" si="76"/>
        <v>23111.1</v>
      </c>
      <c r="N101" s="6">
        <f t="shared" si="76"/>
        <v>96179.89999999997</v>
      </c>
      <c r="O101" s="6">
        <f t="shared" si="76"/>
        <v>147885.5</v>
      </c>
      <c r="P101" s="6">
        <f t="shared" si="76"/>
        <v>31560.9</v>
      </c>
      <c r="Q101" s="6">
        <f t="shared" si="76"/>
        <v>3389.2</v>
      </c>
      <c r="R101" s="6">
        <f t="shared" si="76"/>
        <v>74831.1</v>
      </c>
      <c r="S101" s="6">
        <f t="shared" si="76"/>
        <v>71277.20000000001</v>
      </c>
      <c r="T101" s="6">
        <f t="shared" si="77"/>
        <v>33254.600000000006</v>
      </c>
      <c r="U101" s="6">
        <f t="shared" si="77"/>
        <v>20195.500000000004</v>
      </c>
      <c r="V101" s="6">
        <f t="shared" si="77"/>
        <v>58324</v>
      </c>
      <c r="W101" s="6">
        <f t="shared" si="77"/>
        <v>26975.3</v>
      </c>
      <c r="X101" s="6">
        <f t="shared" si="77"/>
        <v>18690.7</v>
      </c>
      <c r="Y101" s="6">
        <f t="shared" si="77"/>
        <v>5394.4</v>
      </c>
      <c r="Z101" s="6">
        <f t="shared" si="77"/>
        <v>15302.3</v>
      </c>
      <c r="AA101" s="6">
        <f t="shared" si="77"/>
        <v>16482.300000000003</v>
      </c>
      <c r="AB101" s="6">
        <f t="shared" si="77"/>
        <v>1008270.2999999999</v>
      </c>
      <c r="AC101" s="6">
        <f aca="true" t="shared" si="79" ref="AC101:AM101">SUM(AC98:AC100)</f>
        <v>525677.3</v>
      </c>
      <c r="AD101" s="6">
        <f t="shared" si="79"/>
        <v>95607.90000000001</v>
      </c>
      <c r="AE101" s="6">
        <f t="shared" si="79"/>
        <v>205615.3</v>
      </c>
      <c r="AF101" s="6">
        <f t="shared" si="79"/>
        <v>20727.600000000002</v>
      </c>
      <c r="AG101" s="6">
        <f t="shared" si="79"/>
        <v>226342.90000000002</v>
      </c>
      <c r="AH101" s="6">
        <f t="shared" si="78"/>
        <v>736960.8</v>
      </c>
      <c r="AI101" s="6">
        <f t="shared" si="78"/>
        <v>437387.5</v>
      </c>
      <c r="AJ101" s="6">
        <f t="shared" si="78"/>
        <v>256500.6</v>
      </c>
      <c r="AK101" s="6">
        <f t="shared" si="78"/>
        <v>43072.700000000004</v>
      </c>
      <c r="AL101" s="6">
        <f t="shared" si="79"/>
        <v>1584588.9000000001</v>
      </c>
      <c r="AM101" s="13">
        <f t="shared" si="79"/>
        <v>2592859.1999999997</v>
      </c>
    </row>
    <row r="102" spans="1:39" ht="12.75">
      <c r="A102" s="14"/>
      <c r="B102" s="5" t="s">
        <v>74</v>
      </c>
      <c r="C102" s="12"/>
      <c r="D102" s="12">
        <v>2314.3159781063764</v>
      </c>
      <c r="E102" s="12">
        <f>8494.89566645317</f>
        <v>8494.89566645317</v>
      </c>
      <c r="F102" s="12">
        <v>3723.676811648092</v>
      </c>
      <c r="G102" s="12">
        <v>2644.297617469535</v>
      </c>
      <c r="H102" s="12">
        <f>3276.50543120269</f>
        <v>3276.50543120269</v>
      </c>
      <c r="I102" s="12">
        <f>11463.732675248</f>
        <v>11463.732675248</v>
      </c>
      <c r="J102" s="12">
        <v>8731.361343698843</v>
      </c>
      <c r="K102" s="12">
        <v>8827.870542237162</v>
      </c>
      <c r="L102" s="12">
        <f>10671.0692485315-450</f>
        <v>10221.0692485315</v>
      </c>
      <c r="M102" s="12">
        <f>8595.57725515386-450</f>
        <v>8145.577255153859</v>
      </c>
      <c r="N102" s="12">
        <v>18906.278979444054</v>
      </c>
      <c r="O102" s="12">
        <f>30048.3747956536-3800</f>
        <v>26248.3747956536</v>
      </c>
      <c r="P102" s="12">
        <f>6043.61644606027-450</f>
        <v>5593.61644606027</v>
      </c>
      <c r="Q102" s="12">
        <v>2207.8293248319537</v>
      </c>
      <c r="R102" s="12">
        <f>22704.2424768091</f>
        <v>22704.2424768091</v>
      </c>
      <c r="S102" s="12">
        <v>28706.588541915527</v>
      </c>
      <c r="T102" s="12">
        <f>13384.9369367519-450</f>
        <v>12934.9369367519</v>
      </c>
      <c r="U102" s="12">
        <f>15715.2168424359-450</f>
        <v>15265.2168424359</v>
      </c>
      <c r="V102" s="12">
        <v>0</v>
      </c>
      <c r="W102" s="12">
        <f>13003.4353492968-450</f>
        <v>12553.4353492968</v>
      </c>
      <c r="X102" s="12">
        <f>22326.2783505787+5608.4+1321</f>
        <v>29255.678350578703</v>
      </c>
      <c r="Y102" s="12">
        <f>19296.0346430899+1200</f>
        <v>20496.0346430899</v>
      </c>
      <c r="Z102" s="12">
        <f>30622.3505553815+1700</f>
        <v>32322.3505553815</v>
      </c>
      <c r="AA102" s="12">
        <v>13664.668485898635</v>
      </c>
      <c r="AB102" s="12">
        <f>SUM(D102:AA102)</f>
        <v>308702.5542978971</v>
      </c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3"/>
    </row>
    <row r="103" spans="1:39" ht="12.75">
      <c r="A103" s="14"/>
      <c r="B103" s="5" t="s">
        <v>75</v>
      </c>
      <c r="C103" s="12"/>
      <c r="D103" s="12">
        <v>384.76693627776785</v>
      </c>
      <c r="E103" s="12">
        <f>2498.89889072431</f>
        <v>2498.89889072431</v>
      </c>
      <c r="F103" s="12">
        <v>1056.1589358836234</v>
      </c>
      <c r="G103" s="12">
        <v>669.9407334624219</v>
      </c>
      <c r="H103" s="12">
        <f>1213.984128982</f>
        <v>1213.984128982</v>
      </c>
      <c r="I103" s="12">
        <f>3006.29781612219</f>
        <v>3006.29781612219</v>
      </c>
      <c r="J103" s="12">
        <v>2112.4085759012105</v>
      </c>
      <c r="K103" s="12">
        <v>2604.4785026590826</v>
      </c>
      <c r="L103" s="12">
        <f>3470.24946135104-50</f>
        <v>3420.24946135104</v>
      </c>
      <c r="M103" s="12">
        <f>2413.6370047976-50</f>
        <v>2363.6370047976</v>
      </c>
      <c r="N103" s="12">
        <v>5293.765370575052</v>
      </c>
      <c r="O103" s="12">
        <f>9032.86188499712-200</f>
        <v>8832.86188499712</v>
      </c>
      <c r="P103" s="12">
        <f>1769.45624538112-50</f>
        <v>1719.45624538112</v>
      </c>
      <c r="Q103" s="12">
        <v>692.3446545516742</v>
      </c>
      <c r="R103" s="12">
        <f>8299.51896189346</f>
        <v>8299.51896189346</v>
      </c>
      <c r="S103" s="12">
        <v>12029.454358785106</v>
      </c>
      <c r="T103" s="12">
        <f>4356.61025845296-50</f>
        <v>4306.61025845296</v>
      </c>
      <c r="U103" s="12">
        <f>3920.95830302106-50</f>
        <v>3870.95830302106</v>
      </c>
      <c r="V103" s="12">
        <v>0</v>
      </c>
      <c r="W103" s="12">
        <f>2644.56972987143-50</f>
        <v>2594.56972987143</v>
      </c>
      <c r="X103" s="12">
        <f>3548.88994549834+891.6+211</f>
        <v>4651.48994549834</v>
      </c>
      <c r="Y103" s="12">
        <f>4624.18745364849+300</f>
        <v>4924.18745364849</v>
      </c>
      <c r="Z103" s="12">
        <f>6658.86258674205+300</f>
        <v>6958.86258674205</v>
      </c>
      <c r="AA103" s="12">
        <v>2623.344962523716</v>
      </c>
      <c r="AB103" s="12">
        <f aca="true" t="shared" si="80" ref="AB103:AB108">SUM(D103:AA103)</f>
        <v>86128.24570210284</v>
      </c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3"/>
    </row>
    <row r="104" spans="1:39" ht="12.75">
      <c r="A104" s="14"/>
      <c r="B104" s="5" t="s">
        <v>76</v>
      </c>
      <c r="C104" s="12"/>
      <c r="D104" s="12">
        <f>SUM(D102:D103)</f>
        <v>2699.0829143841443</v>
      </c>
      <c r="E104" s="12">
        <f aca="true" t="shared" si="81" ref="E104:T104">SUM(E102:E103)</f>
        <v>10993.79455717748</v>
      </c>
      <c r="F104" s="12">
        <f t="shared" si="81"/>
        <v>4779.835747531715</v>
      </c>
      <c r="G104" s="12">
        <f t="shared" si="81"/>
        <v>3314.238350931957</v>
      </c>
      <c r="H104" s="12">
        <f t="shared" si="81"/>
        <v>4490.48956018469</v>
      </c>
      <c r="I104" s="12">
        <f t="shared" si="81"/>
        <v>14470.030491370191</v>
      </c>
      <c r="J104" s="12">
        <f t="shared" si="81"/>
        <v>10843.769919600054</v>
      </c>
      <c r="K104" s="12">
        <f t="shared" si="81"/>
        <v>11432.349044896244</v>
      </c>
      <c r="L104" s="12">
        <f t="shared" si="81"/>
        <v>13641.31870988254</v>
      </c>
      <c r="M104" s="12">
        <f t="shared" si="81"/>
        <v>10509.21425995146</v>
      </c>
      <c r="N104" s="12">
        <f t="shared" si="81"/>
        <v>24200.044350019107</v>
      </c>
      <c r="O104" s="12">
        <f t="shared" si="81"/>
        <v>35081.23668065072</v>
      </c>
      <c r="P104" s="12">
        <f t="shared" si="81"/>
        <v>7313.07269144139</v>
      </c>
      <c r="Q104" s="12">
        <f t="shared" si="81"/>
        <v>2900.1739793836277</v>
      </c>
      <c r="R104" s="12">
        <f t="shared" si="81"/>
        <v>31003.76143870256</v>
      </c>
      <c r="S104" s="12">
        <f t="shared" si="81"/>
        <v>40736.04290070063</v>
      </c>
      <c r="T104" s="12">
        <f t="shared" si="81"/>
        <v>17241.54719520486</v>
      </c>
      <c r="U104" s="12">
        <f aca="true" t="shared" si="82" ref="U104:AB104">SUM(U102:U103)</f>
        <v>19136.17514545696</v>
      </c>
      <c r="V104" s="12">
        <f t="shared" si="82"/>
        <v>0</v>
      </c>
      <c r="W104" s="12">
        <f t="shared" si="82"/>
        <v>15148.00507916823</v>
      </c>
      <c r="X104" s="12">
        <f t="shared" si="82"/>
        <v>33907.16829607704</v>
      </c>
      <c r="Y104" s="12">
        <f t="shared" si="82"/>
        <v>25420.22209673839</v>
      </c>
      <c r="Z104" s="12">
        <f t="shared" si="82"/>
        <v>39281.21314212355</v>
      </c>
      <c r="AA104" s="12">
        <f t="shared" si="82"/>
        <v>16288.01344842235</v>
      </c>
      <c r="AB104" s="12">
        <f t="shared" si="82"/>
        <v>394830.79999999993</v>
      </c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3"/>
    </row>
    <row r="105" spans="1:39" ht="12.75">
      <c r="A105" s="14"/>
      <c r="B105" s="5" t="s">
        <v>77</v>
      </c>
      <c r="C105" s="12"/>
      <c r="D105" s="12">
        <v>36713.817085615854</v>
      </c>
      <c r="E105" s="12">
        <f>9864.00544282252</f>
        <v>9864.00544282252</v>
      </c>
      <c r="F105" s="12">
        <v>5990.064252468284</v>
      </c>
      <c r="G105" s="12">
        <v>4172.061649068043</v>
      </c>
      <c r="H105" s="12">
        <f>2852.91043981531</f>
        <v>2852.91043981531</v>
      </c>
      <c r="I105" s="12">
        <f>7612.16950862982</f>
        <v>7612.16950862982</v>
      </c>
      <c r="J105" s="12">
        <v>13330.830080399945</v>
      </c>
      <c r="K105" s="12">
        <v>17299.250955103755</v>
      </c>
      <c r="L105" s="12">
        <f>7445.48129011747+500</f>
        <v>7945.48129011747</v>
      </c>
      <c r="M105" s="12">
        <f>7591.68574004854+500</f>
        <v>8091.68574004854</v>
      </c>
      <c r="N105" s="12">
        <v>26992.955649980897</v>
      </c>
      <c r="O105" s="12">
        <f>8451.66331934925+4000</f>
        <v>12451.66331934925</v>
      </c>
      <c r="P105" s="12">
        <f>7876.02730855861+500</f>
        <v>8376.027308558609</v>
      </c>
      <c r="Q105" s="12">
        <v>17852.32602061637</v>
      </c>
      <c r="R105" s="12">
        <f>30895.7385612974</f>
        <v>30895.7385612974</v>
      </c>
      <c r="S105" s="12">
        <v>53700.95709929937</v>
      </c>
      <c r="T105" s="12">
        <f>26734.9528047952+500</f>
        <v>27234.9528047952</v>
      </c>
      <c r="U105" s="12">
        <f>35496.0248545429+500</f>
        <v>35996.0248545429</v>
      </c>
      <c r="V105" s="12">
        <v>-58324</v>
      </c>
      <c r="W105" s="12">
        <f>83365.4949208318+500</f>
        <v>83865.4949208318</v>
      </c>
      <c r="X105" s="12">
        <f>7501.83170392295-1532</f>
        <v>5969.83170392295</v>
      </c>
      <c r="Y105" s="12">
        <f>7427.47790326164-1500</f>
        <v>5927.47790326164</v>
      </c>
      <c r="Z105" s="12">
        <f>6279.78685787643-2000-2000</f>
        <v>2279.78685787643</v>
      </c>
      <c r="AA105" s="12">
        <f>10052.5865515776-3000</f>
        <v>7052.5865515776</v>
      </c>
      <c r="AB105" s="12">
        <f>SUM(D105:AA105)</f>
        <v>374144.1</v>
      </c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3"/>
    </row>
    <row r="106" spans="1:39" ht="12.75">
      <c r="A106" s="14"/>
      <c r="B106" s="5" t="s">
        <v>78</v>
      </c>
      <c r="C106" s="12"/>
      <c r="D106" s="12">
        <f>D104+D105</f>
        <v>39412.9</v>
      </c>
      <c r="E106" s="12">
        <f aca="true" t="shared" si="83" ref="E106:T106">E104+E105</f>
        <v>20857.8</v>
      </c>
      <c r="F106" s="12">
        <f t="shared" si="83"/>
        <v>10769.9</v>
      </c>
      <c r="G106" s="12">
        <f t="shared" si="83"/>
        <v>7486.3</v>
      </c>
      <c r="H106" s="12">
        <f t="shared" si="83"/>
        <v>7343.4</v>
      </c>
      <c r="I106" s="12">
        <f t="shared" si="83"/>
        <v>22082.20000000001</v>
      </c>
      <c r="J106" s="12">
        <f t="shared" si="83"/>
        <v>24174.6</v>
      </c>
      <c r="K106" s="12">
        <f t="shared" si="83"/>
        <v>28731.6</v>
      </c>
      <c r="L106" s="12">
        <f t="shared" si="83"/>
        <v>21586.80000000001</v>
      </c>
      <c r="M106" s="12">
        <f t="shared" si="83"/>
        <v>18600.899999999998</v>
      </c>
      <c r="N106" s="12">
        <f t="shared" si="83"/>
        <v>51193</v>
      </c>
      <c r="O106" s="12">
        <f t="shared" si="83"/>
        <v>47532.89999999997</v>
      </c>
      <c r="P106" s="12">
        <f t="shared" si="83"/>
        <v>15689.099999999999</v>
      </c>
      <c r="Q106" s="12">
        <f t="shared" si="83"/>
        <v>20752.499999999996</v>
      </c>
      <c r="R106" s="12">
        <f t="shared" si="83"/>
        <v>61899.499999999956</v>
      </c>
      <c r="S106" s="12">
        <f t="shared" si="83"/>
        <v>94437</v>
      </c>
      <c r="T106" s="12">
        <f t="shared" si="83"/>
        <v>44476.50000000006</v>
      </c>
      <c r="U106" s="12">
        <f aca="true" t="shared" si="84" ref="U106:AB106">U104+U105</f>
        <v>55132.19999999986</v>
      </c>
      <c r="V106" s="12">
        <f t="shared" si="84"/>
        <v>-58324</v>
      </c>
      <c r="W106" s="12">
        <f t="shared" si="84"/>
        <v>99013.50000000003</v>
      </c>
      <c r="X106" s="12">
        <f t="shared" si="84"/>
        <v>39876.99999999999</v>
      </c>
      <c r="Y106" s="12">
        <f t="shared" si="84"/>
        <v>31347.70000000003</v>
      </c>
      <c r="Z106" s="12">
        <f t="shared" si="84"/>
        <v>41560.999999999985</v>
      </c>
      <c r="AA106" s="12">
        <f t="shared" si="84"/>
        <v>23340.59999999995</v>
      </c>
      <c r="AB106" s="12">
        <f t="shared" si="84"/>
        <v>768974.8999999999</v>
      </c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3"/>
    </row>
    <row r="107" spans="1:39" ht="12.75">
      <c r="A107" s="14"/>
      <c r="B107" s="5" t="s">
        <v>79</v>
      </c>
      <c r="C107" s="12"/>
      <c r="D107" s="12">
        <v>150</v>
      </c>
      <c r="E107" s="12">
        <v>1364.2</v>
      </c>
      <c r="F107" s="12">
        <v>569.6</v>
      </c>
      <c r="G107" s="12">
        <v>394.9</v>
      </c>
      <c r="H107" s="12">
        <v>33</v>
      </c>
      <c r="I107" s="12">
        <v>310.1</v>
      </c>
      <c r="J107" s="12">
        <v>58.6</v>
      </c>
      <c r="K107" s="12">
        <v>160.6</v>
      </c>
      <c r="L107" s="12">
        <v>116.5</v>
      </c>
      <c r="M107" s="12">
        <v>78.2</v>
      </c>
      <c r="N107" s="12">
        <v>171.1</v>
      </c>
      <c r="O107" s="12">
        <v>61.1</v>
      </c>
      <c r="P107" s="12">
        <v>110.7</v>
      </c>
      <c r="Q107" s="12">
        <v>72.1</v>
      </c>
      <c r="R107" s="12">
        <v>1889.1</v>
      </c>
      <c r="S107" s="12">
        <v>4839.3</v>
      </c>
      <c r="T107" s="12">
        <v>455.9</v>
      </c>
      <c r="U107" s="12">
        <v>79</v>
      </c>
      <c r="V107" s="12"/>
      <c r="W107" s="12">
        <v>332.5</v>
      </c>
      <c r="X107" s="12">
        <v>0</v>
      </c>
      <c r="Y107" s="12">
        <v>27.5</v>
      </c>
      <c r="Z107" s="12">
        <v>23.2</v>
      </c>
      <c r="AA107" s="12">
        <v>2684.5</v>
      </c>
      <c r="AB107" s="12">
        <f t="shared" si="80"/>
        <v>13981.699999999999</v>
      </c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3"/>
    </row>
    <row r="108" spans="1:39" ht="12.75">
      <c r="A108" s="14"/>
      <c r="B108" s="5" t="s">
        <v>80</v>
      </c>
      <c r="C108" s="12"/>
      <c r="D108" s="12">
        <v>4062</v>
      </c>
      <c r="E108" s="12">
        <v>935.5</v>
      </c>
      <c r="F108" s="12">
        <v>402.3</v>
      </c>
      <c r="G108" s="12">
        <v>278.9</v>
      </c>
      <c r="H108" s="12">
        <v>103</v>
      </c>
      <c r="I108" s="12">
        <v>126.1</v>
      </c>
      <c r="J108" s="12">
        <v>411.9</v>
      </c>
      <c r="K108" s="12">
        <v>102.8</v>
      </c>
      <c r="L108" s="12">
        <v>132.9</v>
      </c>
      <c r="M108" s="12">
        <v>64.4</v>
      </c>
      <c r="N108" s="12">
        <v>232.7</v>
      </c>
      <c r="O108" s="12">
        <v>154.7</v>
      </c>
      <c r="P108" s="12">
        <v>164.2</v>
      </c>
      <c r="Q108" s="12">
        <v>335.6</v>
      </c>
      <c r="R108" s="12">
        <v>101</v>
      </c>
      <c r="S108" s="12">
        <v>525.7</v>
      </c>
      <c r="T108" s="12">
        <v>1416.1</v>
      </c>
      <c r="U108" s="12">
        <v>0</v>
      </c>
      <c r="V108" s="12"/>
      <c r="W108" s="12">
        <v>492.5</v>
      </c>
      <c r="X108" s="12">
        <v>0</v>
      </c>
      <c r="Y108" s="12">
        <v>5642.9</v>
      </c>
      <c r="Z108" s="12">
        <v>31.8</v>
      </c>
      <c r="AA108" s="12">
        <v>3705.5</v>
      </c>
      <c r="AB108" s="12">
        <f t="shared" si="80"/>
        <v>19422.5</v>
      </c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3"/>
    </row>
    <row r="109" spans="1:39" ht="12.75">
      <c r="A109" s="14"/>
      <c r="B109" s="5" t="s">
        <v>81</v>
      </c>
      <c r="C109" s="12"/>
      <c r="D109" s="12">
        <f>D107-D108</f>
        <v>-3912</v>
      </c>
      <c r="E109" s="12">
        <f aca="true" t="shared" si="85" ref="E109:T109">E107-E108</f>
        <v>428.70000000000005</v>
      </c>
      <c r="F109" s="12">
        <f t="shared" si="85"/>
        <v>167.3</v>
      </c>
      <c r="G109" s="12">
        <f t="shared" si="85"/>
        <v>116</v>
      </c>
      <c r="H109" s="12">
        <f t="shared" si="85"/>
        <v>-70</v>
      </c>
      <c r="I109" s="12">
        <f t="shared" si="85"/>
        <v>184.00000000000003</v>
      </c>
      <c r="J109" s="12">
        <f t="shared" si="85"/>
        <v>-353.29999999999995</v>
      </c>
      <c r="K109" s="12">
        <f t="shared" si="85"/>
        <v>57.8</v>
      </c>
      <c r="L109" s="12">
        <f t="shared" si="85"/>
        <v>-16.400000000000006</v>
      </c>
      <c r="M109" s="12">
        <f t="shared" si="85"/>
        <v>13.799999999999997</v>
      </c>
      <c r="N109" s="12">
        <f t="shared" si="85"/>
        <v>-61.599999999999994</v>
      </c>
      <c r="O109" s="12">
        <f t="shared" si="85"/>
        <v>-93.6</v>
      </c>
      <c r="P109" s="12">
        <f t="shared" si="85"/>
        <v>-53.499999999999986</v>
      </c>
      <c r="Q109" s="12">
        <f t="shared" si="85"/>
        <v>-263.5</v>
      </c>
      <c r="R109" s="12">
        <f t="shared" si="85"/>
        <v>1788.1</v>
      </c>
      <c r="S109" s="12">
        <f t="shared" si="85"/>
        <v>4313.6</v>
      </c>
      <c r="T109" s="12">
        <f t="shared" si="85"/>
        <v>-960.1999999999999</v>
      </c>
      <c r="U109" s="12">
        <f aca="true" t="shared" si="86" ref="U109:AB109">U107-U108</f>
        <v>79</v>
      </c>
      <c r="V109" s="12">
        <f t="shared" si="86"/>
        <v>0</v>
      </c>
      <c r="W109" s="12">
        <f t="shared" si="86"/>
        <v>-160</v>
      </c>
      <c r="X109" s="12">
        <f t="shared" si="86"/>
        <v>0</v>
      </c>
      <c r="Y109" s="12">
        <f t="shared" si="86"/>
        <v>-5615.4</v>
      </c>
      <c r="Z109" s="12">
        <f t="shared" si="86"/>
        <v>-8.600000000000001</v>
      </c>
      <c r="AA109" s="12">
        <f t="shared" si="86"/>
        <v>-1021</v>
      </c>
      <c r="AB109" s="12">
        <f t="shared" si="86"/>
        <v>-5440.800000000001</v>
      </c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3"/>
    </row>
    <row r="110" spans="1:39" ht="12.75">
      <c r="A110" s="14"/>
      <c r="B110" s="5" t="s">
        <v>82</v>
      </c>
      <c r="C110" s="12"/>
      <c r="D110" s="12">
        <f>D106+D109</f>
        <v>35500.9</v>
      </c>
      <c r="E110" s="12">
        <f aca="true" t="shared" si="87" ref="E110:T110">E106+E109</f>
        <v>21286.5</v>
      </c>
      <c r="F110" s="12">
        <f t="shared" si="87"/>
        <v>10937.199999999999</v>
      </c>
      <c r="G110" s="12">
        <f t="shared" si="87"/>
        <v>7602.3</v>
      </c>
      <c r="H110" s="12">
        <f t="shared" si="87"/>
        <v>7273.4</v>
      </c>
      <c r="I110" s="12">
        <f t="shared" si="87"/>
        <v>22266.20000000001</v>
      </c>
      <c r="J110" s="12">
        <f t="shared" si="87"/>
        <v>23821.3</v>
      </c>
      <c r="K110" s="12">
        <f t="shared" si="87"/>
        <v>28789.399999999998</v>
      </c>
      <c r="L110" s="12">
        <f t="shared" si="87"/>
        <v>21570.40000000001</v>
      </c>
      <c r="M110" s="12">
        <f t="shared" si="87"/>
        <v>18614.699999999997</v>
      </c>
      <c r="N110" s="12">
        <f t="shared" si="87"/>
        <v>51131.4</v>
      </c>
      <c r="O110" s="12">
        <f t="shared" si="87"/>
        <v>47439.299999999974</v>
      </c>
      <c r="P110" s="12">
        <f t="shared" si="87"/>
        <v>15635.599999999999</v>
      </c>
      <c r="Q110" s="12">
        <f t="shared" si="87"/>
        <v>20488.999999999996</v>
      </c>
      <c r="R110" s="12">
        <f t="shared" si="87"/>
        <v>63687.599999999955</v>
      </c>
      <c r="S110" s="12">
        <f t="shared" si="87"/>
        <v>98750.6</v>
      </c>
      <c r="T110" s="12">
        <f t="shared" si="87"/>
        <v>43516.30000000006</v>
      </c>
      <c r="U110" s="12">
        <f aca="true" t="shared" si="88" ref="U110:AB110">U106+U109</f>
        <v>55211.19999999986</v>
      </c>
      <c r="V110" s="12">
        <f t="shared" si="88"/>
        <v>-58324</v>
      </c>
      <c r="W110" s="12">
        <f t="shared" si="88"/>
        <v>98853.50000000003</v>
      </c>
      <c r="X110" s="12">
        <f t="shared" si="88"/>
        <v>39876.99999999999</v>
      </c>
      <c r="Y110" s="12">
        <f t="shared" si="88"/>
        <v>25732.300000000032</v>
      </c>
      <c r="Z110" s="12">
        <f t="shared" si="88"/>
        <v>41552.39999999999</v>
      </c>
      <c r="AA110" s="12">
        <f t="shared" si="88"/>
        <v>22319.59999999995</v>
      </c>
      <c r="AB110" s="12">
        <f t="shared" si="88"/>
        <v>763534.0999999999</v>
      </c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3"/>
    </row>
    <row r="111" spans="1:39" ht="12.75">
      <c r="A111" s="14"/>
      <c r="B111" s="5" t="s">
        <v>83</v>
      </c>
      <c r="C111" s="12"/>
      <c r="D111" s="12">
        <f>D110+D101</f>
        <v>80323.6</v>
      </c>
      <c r="E111" s="12">
        <f aca="true" t="shared" si="89" ref="E111:T111">E110+E101</f>
        <v>79591.4</v>
      </c>
      <c r="F111" s="12">
        <f t="shared" si="89"/>
        <v>38699.9</v>
      </c>
      <c r="G111" s="12">
        <f t="shared" si="89"/>
        <v>24772.1</v>
      </c>
      <c r="H111" s="12">
        <f t="shared" si="89"/>
        <v>21115.1</v>
      </c>
      <c r="I111" s="12">
        <f t="shared" si="89"/>
        <v>67473.00000000001</v>
      </c>
      <c r="J111" s="12">
        <f t="shared" si="89"/>
        <v>63555</v>
      </c>
      <c r="K111" s="12">
        <f t="shared" si="89"/>
        <v>55963.59999999999</v>
      </c>
      <c r="L111" s="12">
        <f t="shared" si="89"/>
        <v>112970.2</v>
      </c>
      <c r="M111" s="12">
        <f t="shared" si="89"/>
        <v>41725.799999999996</v>
      </c>
      <c r="N111" s="12">
        <f t="shared" si="89"/>
        <v>147311.29999999996</v>
      </c>
      <c r="O111" s="12">
        <f t="shared" si="89"/>
        <v>195324.8</v>
      </c>
      <c r="P111" s="12">
        <f t="shared" si="89"/>
        <v>47196.5</v>
      </c>
      <c r="Q111" s="12">
        <f t="shared" si="89"/>
        <v>23878.199999999997</v>
      </c>
      <c r="R111" s="12">
        <f t="shared" si="89"/>
        <v>138518.69999999995</v>
      </c>
      <c r="S111" s="12">
        <f t="shared" si="89"/>
        <v>170027.80000000002</v>
      </c>
      <c r="T111" s="12">
        <f t="shared" si="89"/>
        <v>76770.90000000007</v>
      </c>
      <c r="U111" s="12">
        <f aca="true" t="shared" si="90" ref="U111:AB111">U110+U101</f>
        <v>75406.69999999987</v>
      </c>
      <c r="V111" s="12">
        <f t="shared" si="90"/>
        <v>0</v>
      </c>
      <c r="W111" s="12">
        <f t="shared" si="90"/>
        <v>125828.80000000003</v>
      </c>
      <c r="X111" s="12">
        <f t="shared" si="90"/>
        <v>58567.7</v>
      </c>
      <c r="Y111" s="12">
        <f t="shared" si="90"/>
        <v>31126.700000000033</v>
      </c>
      <c r="Z111" s="12">
        <f t="shared" si="90"/>
        <v>56854.69999999998</v>
      </c>
      <c r="AA111" s="12">
        <f t="shared" si="90"/>
        <v>38801.89999999995</v>
      </c>
      <c r="AB111" s="12">
        <f t="shared" si="90"/>
        <v>1771804.4</v>
      </c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3"/>
    </row>
    <row r="112" spans="1:39" ht="12.75">
      <c r="A112" s="14"/>
      <c r="B112" s="5" t="s">
        <v>84</v>
      </c>
      <c r="C112" s="12"/>
      <c r="D112" s="12">
        <v>-300.3</v>
      </c>
      <c r="E112" s="12">
        <v>-2509</v>
      </c>
      <c r="F112" s="12">
        <v>-1539.6</v>
      </c>
      <c r="G112" s="12">
        <v>-149.6</v>
      </c>
      <c r="H112" s="12">
        <v>-42.8</v>
      </c>
      <c r="I112" s="12">
        <v>536.5</v>
      </c>
      <c r="J112" s="12">
        <v>-2089</v>
      </c>
      <c r="K112" s="12">
        <v>-1493.5</v>
      </c>
      <c r="L112" s="12">
        <v>-184.7</v>
      </c>
      <c r="M112" s="12">
        <v>-525.6</v>
      </c>
      <c r="N112" s="12">
        <v>-730.4</v>
      </c>
      <c r="O112" s="12">
        <v>-312.1</v>
      </c>
      <c r="P112" s="12">
        <v>-548.6</v>
      </c>
      <c r="Q112" s="12">
        <v>63</v>
      </c>
      <c r="R112" s="12">
        <v>-194.8</v>
      </c>
      <c r="S112" s="12">
        <f>7778.6+1037.3</f>
        <v>8815.9</v>
      </c>
      <c r="T112" s="12">
        <v>74.2</v>
      </c>
      <c r="U112" s="12">
        <v>0</v>
      </c>
      <c r="V112" s="12">
        <v>0</v>
      </c>
      <c r="W112" s="12">
        <v>1719.8</v>
      </c>
      <c r="X112" s="12">
        <f>-134.9-6500</f>
        <v>-6634.9</v>
      </c>
      <c r="Y112" s="12">
        <v>2106</v>
      </c>
      <c r="Z112" s="12">
        <v>2226</v>
      </c>
      <c r="AA112" s="12">
        <f>-454.5+2168</f>
        <v>1713.5</v>
      </c>
      <c r="AB112" s="12">
        <f>SUM(D112:AA112)</f>
        <v>0</v>
      </c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3"/>
    </row>
    <row r="113" spans="1:39" ht="12.75">
      <c r="A113" s="14"/>
      <c r="B113" s="5" t="s">
        <v>85</v>
      </c>
      <c r="C113" s="12"/>
      <c r="D113" s="12">
        <f>SUM(D111+D112)</f>
        <v>80023.3</v>
      </c>
      <c r="E113" s="12">
        <f aca="true" t="shared" si="91" ref="E113:T113">SUM(E111+E112)</f>
        <v>77082.4</v>
      </c>
      <c r="F113" s="12">
        <f t="shared" si="91"/>
        <v>37160.3</v>
      </c>
      <c r="G113" s="12">
        <f t="shared" si="91"/>
        <v>24622.5</v>
      </c>
      <c r="H113" s="12">
        <f t="shared" si="91"/>
        <v>21072.3</v>
      </c>
      <c r="I113" s="12">
        <f t="shared" si="91"/>
        <v>68009.50000000001</v>
      </c>
      <c r="J113" s="12">
        <f t="shared" si="91"/>
        <v>61466</v>
      </c>
      <c r="K113" s="12">
        <f t="shared" si="91"/>
        <v>54470.09999999999</v>
      </c>
      <c r="L113" s="12">
        <f t="shared" si="91"/>
        <v>112785.5</v>
      </c>
      <c r="M113" s="12">
        <f t="shared" si="91"/>
        <v>41200.2</v>
      </c>
      <c r="N113" s="12">
        <f t="shared" si="91"/>
        <v>146580.89999999997</v>
      </c>
      <c r="O113" s="12">
        <f t="shared" si="91"/>
        <v>195012.69999999998</v>
      </c>
      <c r="P113" s="12">
        <f t="shared" si="91"/>
        <v>46647.9</v>
      </c>
      <c r="Q113" s="12">
        <f t="shared" si="91"/>
        <v>23941.199999999997</v>
      </c>
      <c r="R113" s="12">
        <f t="shared" si="91"/>
        <v>138323.89999999997</v>
      </c>
      <c r="S113" s="12">
        <f t="shared" si="91"/>
        <v>178843.7</v>
      </c>
      <c r="T113" s="12">
        <f t="shared" si="91"/>
        <v>76845.10000000006</v>
      </c>
      <c r="U113" s="12">
        <f aca="true" t="shared" si="92" ref="U113:AB113">SUM(U111+U112)</f>
        <v>75406.69999999987</v>
      </c>
      <c r="V113" s="12">
        <f t="shared" si="92"/>
        <v>0</v>
      </c>
      <c r="W113" s="12">
        <f t="shared" si="92"/>
        <v>127548.60000000003</v>
      </c>
      <c r="X113" s="12">
        <f t="shared" si="92"/>
        <v>51932.799999999996</v>
      </c>
      <c r="Y113" s="12">
        <f t="shared" si="92"/>
        <v>33232.70000000003</v>
      </c>
      <c r="Z113" s="12">
        <f t="shared" si="92"/>
        <v>59080.69999999998</v>
      </c>
      <c r="AA113" s="12">
        <f t="shared" si="92"/>
        <v>40515.39999999995</v>
      </c>
      <c r="AB113" s="12">
        <f t="shared" si="92"/>
        <v>1771804.4</v>
      </c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3"/>
    </row>
    <row r="114" spans="1:39" ht="12.75">
      <c r="A114" s="14"/>
      <c r="B114" s="5" t="s">
        <v>86</v>
      </c>
      <c r="C114" s="12"/>
      <c r="D114" s="12">
        <f>46091.7-7900+44.2</f>
        <v>38235.899999999994</v>
      </c>
      <c r="E114" s="12">
        <f>54015.4-2000+56.6</f>
        <v>52072</v>
      </c>
      <c r="F114" s="12">
        <f>1927.7+3.7</f>
        <v>1931.4</v>
      </c>
      <c r="G114" s="12">
        <f>11613.2+5500+4.8</f>
        <v>17118</v>
      </c>
      <c r="H114" s="12">
        <f>32161.7-5000-5000+25.7</f>
        <v>22187.4</v>
      </c>
      <c r="I114" s="12">
        <f>19091.2+114.6+26.7</f>
        <v>19232.5</v>
      </c>
      <c r="J114" s="12">
        <f>54547.2-2000+51.6+709.6</f>
        <v>53308.399999999994</v>
      </c>
      <c r="K114" s="12">
        <f>14924.9-334-1000-700+11.6</f>
        <v>12902.5</v>
      </c>
      <c r="L114" s="12">
        <f>93501.4+2000-27000</f>
        <v>68501.4</v>
      </c>
      <c r="M114" s="12">
        <f>17299.8+12.3</f>
        <v>17312.1</v>
      </c>
      <c r="N114" s="12">
        <f>77637.2+126.4</f>
        <v>77763.59999999999</v>
      </c>
      <c r="O114" s="12">
        <f>36075.9+50505-25000-12000+16400</f>
        <v>65980.9</v>
      </c>
      <c r="P114" s="12">
        <f>18950.7+21.4</f>
        <v>18972.100000000002</v>
      </c>
      <c r="Q114" s="12">
        <f>43015+116.9</f>
        <v>43131.9</v>
      </c>
      <c r="R114" s="12">
        <v>0</v>
      </c>
      <c r="S114" s="12">
        <f>42583.7+40+336.5+272.7</f>
        <v>43232.899999999994</v>
      </c>
      <c r="T114" s="12">
        <f>15971.4+45+313+77.5</f>
        <v>16406.9</v>
      </c>
      <c r="U114" s="12">
        <v>941.1</v>
      </c>
      <c r="V114" s="12">
        <v>0</v>
      </c>
      <c r="W114" s="12">
        <f>9591.4+1000+246.3</f>
        <v>10837.699999999999</v>
      </c>
      <c r="X114" s="12">
        <v>0</v>
      </c>
      <c r="Y114" s="12">
        <v>0</v>
      </c>
      <c r="Z114" s="12">
        <v>0</v>
      </c>
      <c r="AA114" s="12">
        <f>2193.2+65</f>
        <v>2258.2</v>
      </c>
      <c r="AB114" s="12">
        <f>SUM(D114:AA114)</f>
        <v>582326.8999999999</v>
      </c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3"/>
    </row>
    <row r="115" spans="1:39" ht="12.75">
      <c r="A115" s="14"/>
      <c r="B115" s="5" t="s">
        <v>87</v>
      </c>
      <c r="C115" s="12"/>
      <c r="D115" s="12">
        <f>5700.6-1100</f>
        <v>4600.6</v>
      </c>
      <c r="E115" s="12">
        <f>3964.6-800</f>
        <v>3164.6</v>
      </c>
      <c r="F115" s="12">
        <f>2139-100+1.6</f>
        <v>2040.6</v>
      </c>
      <c r="G115" s="12">
        <f>739.1+180+1.6</f>
        <v>920.7</v>
      </c>
      <c r="H115" s="12">
        <f>3915.3-400-500+39.3</f>
        <v>3054.6000000000004</v>
      </c>
      <c r="I115" s="12">
        <v>5621</v>
      </c>
      <c r="J115" s="12">
        <v>15596</v>
      </c>
      <c r="K115" s="12">
        <f>1363.6-300</f>
        <v>1063.6</v>
      </c>
      <c r="L115" s="12">
        <f>33245-2000-4975.7-3000</f>
        <v>23269.3</v>
      </c>
      <c r="M115" s="12">
        <f>2878.7+19.6</f>
        <v>2898.2999999999997</v>
      </c>
      <c r="N115" s="12">
        <f>35838.4+5.4</f>
        <v>35843.8</v>
      </c>
      <c r="O115" s="12">
        <f>16954.5+9000+10000-16000+9503+7</f>
        <v>29464.5</v>
      </c>
      <c r="P115" s="12">
        <f>2331.9+31.2</f>
        <v>2363.1</v>
      </c>
      <c r="Q115" s="12">
        <f>1449.8+30.8</f>
        <v>1480.6</v>
      </c>
      <c r="R115" s="12">
        <v>0</v>
      </c>
      <c r="S115" s="12">
        <f>136.7-32</f>
        <v>104.69999999999999</v>
      </c>
      <c r="T115" s="12">
        <f>565.9-45</f>
        <v>520.9</v>
      </c>
      <c r="U115" s="12">
        <v>31.4</v>
      </c>
      <c r="V115" s="12">
        <v>0</v>
      </c>
      <c r="W115" s="12">
        <f>10.8</f>
        <v>10.8</v>
      </c>
      <c r="X115" s="12">
        <v>0</v>
      </c>
      <c r="Y115" s="12">
        <v>0</v>
      </c>
      <c r="Z115" s="12">
        <v>0</v>
      </c>
      <c r="AA115" s="12">
        <v>0</v>
      </c>
      <c r="AB115" s="12">
        <f>SUM(D115:AA115)</f>
        <v>132049.1</v>
      </c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3"/>
    </row>
    <row r="116" spans="1:39" ht="12.75">
      <c r="A116" s="14"/>
      <c r="B116" s="5" t="s">
        <v>88</v>
      </c>
      <c r="C116" s="12"/>
      <c r="D116" s="12">
        <f>1202.8-100+15.3</f>
        <v>1118.1</v>
      </c>
      <c r="E116" s="12">
        <f>1852.6-400+27.5</f>
        <v>1480.1</v>
      </c>
      <c r="F116" s="12">
        <v>0</v>
      </c>
      <c r="G116" s="12">
        <v>12.799999999999272</v>
      </c>
      <c r="H116" s="12">
        <v>731.6999999999971</v>
      </c>
      <c r="I116" s="12">
        <v>927.0999999999985</v>
      </c>
      <c r="J116" s="12">
        <v>4761.5</v>
      </c>
      <c r="K116" s="12">
        <f>265.200000000001-102+7.1</f>
        <v>170.300000000001</v>
      </c>
      <c r="L116" s="12">
        <f>22552.8-11000-1824.3-1000+4.9</f>
        <v>8733.4</v>
      </c>
      <c r="M116" s="12">
        <v>226.59999999999854</v>
      </c>
      <c r="N116" s="12">
        <v>4899.899999999994</v>
      </c>
      <c r="O116" s="12">
        <f>1043.4+497</f>
        <v>1540.4</v>
      </c>
      <c r="P116" s="12">
        <v>317.59999999999854</v>
      </c>
      <c r="Q116" s="12">
        <f>2174.7+400</f>
        <v>2574.7</v>
      </c>
      <c r="R116" s="12">
        <v>0</v>
      </c>
      <c r="S116" s="12">
        <f>16.5000000000073-8</f>
        <v>8.5000000000073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f>SUM(D116:AA116)</f>
        <v>27502.699999999997</v>
      </c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3"/>
    </row>
    <row r="117" spans="1:39" ht="12.75">
      <c r="A117" s="14"/>
      <c r="B117" s="5" t="s">
        <v>89</v>
      </c>
      <c r="C117" s="12"/>
      <c r="D117" s="12">
        <f>D114+D115+D116</f>
        <v>43954.59999999999</v>
      </c>
      <c r="E117" s="12">
        <f aca="true" t="shared" si="93" ref="E117:T117">E114+E115+E116</f>
        <v>56716.7</v>
      </c>
      <c r="F117" s="12">
        <f t="shared" si="93"/>
        <v>3972</v>
      </c>
      <c r="G117" s="12">
        <f t="shared" si="93"/>
        <v>18051.5</v>
      </c>
      <c r="H117" s="12">
        <f t="shared" si="93"/>
        <v>25973.699999999997</v>
      </c>
      <c r="I117" s="12">
        <f t="shared" si="93"/>
        <v>25780.6</v>
      </c>
      <c r="J117" s="12">
        <f t="shared" si="93"/>
        <v>73665.9</v>
      </c>
      <c r="K117" s="12">
        <f t="shared" si="93"/>
        <v>14136.400000000001</v>
      </c>
      <c r="L117" s="12">
        <f t="shared" si="93"/>
        <v>100504.09999999999</v>
      </c>
      <c r="M117" s="12">
        <f t="shared" si="93"/>
        <v>20436.999999999996</v>
      </c>
      <c r="N117" s="12">
        <f t="shared" si="93"/>
        <v>118507.29999999999</v>
      </c>
      <c r="O117" s="12">
        <f t="shared" si="93"/>
        <v>96985.79999999999</v>
      </c>
      <c r="P117" s="12">
        <f t="shared" si="93"/>
        <v>21652.8</v>
      </c>
      <c r="Q117" s="12">
        <f t="shared" si="93"/>
        <v>47187.2</v>
      </c>
      <c r="R117" s="12">
        <f t="shared" si="93"/>
        <v>0</v>
      </c>
      <c r="S117" s="12">
        <f t="shared" si="93"/>
        <v>43346.1</v>
      </c>
      <c r="T117" s="12">
        <f t="shared" si="93"/>
        <v>16927.800000000003</v>
      </c>
      <c r="U117" s="12">
        <f aca="true" t="shared" si="94" ref="U117:AB117">U114+U115+U116</f>
        <v>972.5</v>
      </c>
      <c r="V117" s="12">
        <f t="shared" si="94"/>
        <v>0</v>
      </c>
      <c r="W117" s="12">
        <f t="shared" si="94"/>
        <v>10848.499999999998</v>
      </c>
      <c r="X117" s="12">
        <f t="shared" si="94"/>
        <v>0</v>
      </c>
      <c r="Y117" s="12">
        <f t="shared" si="94"/>
        <v>0</v>
      </c>
      <c r="Z117" s="12">
        <f t="shared" si="94"/>
        <v>0</v>
      </c>
      <c r="AA117" s="12">
        <f t="shared" si="94"/>
        <v>2258.2</v>
      </c>
      <c r="AB117" s="12">
        <f t="shared" si="94"/>
        <v>741878.6999999998</v>
      </c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3"/>
    </row>
    <row r="118" spans="1:39" ht="12.75">
      <c r="A118" s="14"/>
      <c r="B118" s="5" t="s">
        <v>90</v>
      </c>
      <c r="C118" s="12"/>
      <c r="D118" s="12">
        <v>1683.6</v>
      </c>
      <c r="E118" s="12">
        <v>8401.2</v>
      </c>
      <c r="F118" s="12">
        <v>425.7</v>
      </c>
      <c r="G118" s="12">
        <v>1168.9</v>
      </c>
      <c r="H118" s="12">
        <v>5116.2</v>
      </c>
      <c r="I118" s="12">
        <v>1275.2</v>
      </c>
      <c r="J118" s="12">
        <v>4113.1</v>
      </c>
      <c r="K118" s="12">
        <v>692.5</v>
      </c>
      <c r="L118" s="12">
        <v>1743.2</v>
      </c>
      <c r="M118" s="12">
        <v>1226.4</v>
      </c>
      <c r="N118" s="12">
        <v>6707.9</v>
      </c>
      <c r="O118" s="12">
        <v>2485.3</v>
      </c>
      <c r="P118" s="12">
        <v>2394.8</v>
      </c>
      <c r="Q118" s="12">
        <v>6297.8</v>
      </c>
      <c r="R118" s="12">
        <v>10098</v>
      </c>
      <c r="S118" s="12">
        <v>16695.2</v>
      </c>
      <c r="T118" s="12">
        <v>3653.9</v>
      </c>
      <c r="U118" s="12">
        <v>0</v>
      </c>
      <c r="V118" s="12">
        <v>0</v>
      </c>
      <c r="W118" s="12">
        <v>1988.6</v>
      </c>
      <c r="X118" s="12">
        <v>0</v>
      </c>
      <c r="Y118" s="12">
        <v>0</v>
      </c>
      <c r="Z118" s="12">
        <v>0</v>
      </c>
      <c r="AA118" s="12">
        <v>3008.6</v>
      </c>
      <c r="AB118" s="12">
        <f>SUM(D118:AA118)</f>
        <v>79176.10000000002</v>
      </c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3"/>
    </row>
    <row r="119" spans="1:39" ht="12.75">
      <c r="A119" s="14"/>
      <c r="B119" s="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>
        <v>0</v>
      </c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3"/>
    </row>
    <row r="120" spans="1:39" s="21" customFormat="1" ht="13.5" thickBot="1">
      <c r="A120" s="17"/>
      <c r="B120" s="18" t="s">
        <v>91</v>
      </c>
      <c r="C120" s="19"/>
      <c r="D120" s="19">
        <f>D118+D117+D113</f>
        <v>125661.5</v>
      </c>
      <c r="E120" s="19">
        <f aca="true" t="shared" si="95" ref="E120:T120">E118+E117+E113</f>
        <v>142200.3</v>
      </c>
      <c r="F120" s="19">
        <f t="shared" si="95"/>
        <v>41558</v>
      </c>
      <c r="G120" s="19">
        <f t="shared" si="95"/>
        <v>43842.9</v>
      </c>
      <c r="H120" s="19">
        <f t="shared" si="95"/>
        <v>52162.2</v>
      </c>
      <c r="I120" s="19">
        <f t="shared" si="95"/>
        <v>95065.30000000002</v>
      </c>
      <c r="J120" s="19">
        <f t="shared" si="95"/>
        <v>139245</v>
      </c>
      <c r="K120" s="19">
        <f t="shared" si="95"/>
        <v>69299</v>
      </c>
      <c r="L120" s="19">
        <f t="shared" si="95"/>
        <v>215032.8</v>
      </c>
      <c r="M120" s="19">
        <f t="shared" si="95"/>
        <v>62863.59999999999</v>
      </c>
      <c r="N120" s="19">
        <f t="shared" si="95"/>
        <v>271796.1</v>
      </c>
      <c r="O120" s="19">
        <f t="shared" si="95"/>
        <v>294483.8</v>
      </c>
      <c r="P120" s="19">
        <f>P118+P117+P113</f>
        <v>70695.5</v>
      </c>
      <c r="Q120" s="19">
        <f t="shared" si="95"/>
        <v>77426.2</v>
      </c>
      <c r="R120" s="19">
        <f t="shared" si="95"/>
        <v>148421.89999999997</v>
      </c>
      <c r="S120" s="19">
        <f t="shared" si="95"/>
        <v>238885</v>
      </c>
      <c r="T120" s="19">
        <f t="shared" si="95"/>
        <v>97426.80000000008</v>
      </c>
      <c r="U120" s="19">
        <f aca="true" t="shared" si="96" ref="U120:AA120">U118+U117+U113</f>
        <v>76379.19999999987</v>
      </c>
      <c r="V120" s="19">
        <f t="shared" si="96"/>
        <v>0</v>
      </c>
      <c r="W120" s="19">
        <f t="shared" si="96"/>
        <v>140385.70000000004</v>
      </c>
      <c r="X120" s="19">
        <f t="shared" si="96"/>
        <v>51932.799999999996</v>
      </c>
      <c r="Y120" s="19">
        <f t="shared" si="96"/>
        <v>33232.70000000003</v>
      </c>
      <c r="Z120" s="19">
        <f t="shared" si="96"/>
        <v>59080.69999999998</v>
      </c>
      <c r="AA120" s="19">
        <f t="shared" si="96"/>
        <v>45782.19999999995</v>
      </c>
      <c r="AB120" s="19">
        <f>SUM(D120:AA120)</f>
        <v>2592859.2</v>
      </c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20"/>
    </row>
  </sheetData>
  <sheetProtection/>
  <printOptions horizontalCentered="1" verticalCentered="1"/>
  <pageMargins left="0.75" right="0.75" top="1" bottom="1" header="0.5118110236220472" footer="0.5118110236220472"/>
  <pageSetup blackAndWhite="1"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zoomScale="75" zoomScaleNormal="75" zoomScalePageLayoutView="0" workbookViewId="0" topLeftCell="A1">
      <pane xSplit="2" ySplit="4" topLeftCell="C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21875" defaultRowHeight="12.75"/>
  <cols>
    <col min="1" max="1" width="3.28125" style="27" customWidth="1"/>
    <col min="2" max="2" width="48.7109375" style="27" customWidth="1"/>
    <col min="3" max="22" width="8.00390625" style="0" customWidth="1"/>
    <col min="23" max="23" width="8.28125" style="0" customWidth="1"/>
    <col min="24" max="26" width="8.00390625" style="0" customWidth="1"/>
  </cols>
  <sheetData>
    <row r="1" ht="15.75">
      <c r="B1" s="84" t="s">
        <v>105</v>
      </c>
    </row>
    <row r="2" spans="1:26" s="48" customFormat="1" ht="15.75" thickBot="1">
      <c r="A2" s="8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1" customFormat="1" ht="12.75">
      <c r="A3" s="80"/>
      <c r="B3" s="79" t="s">
        <v>104</v>
      </c>
      <c r="C3" s="31">
        <v>1</v>
      </c>
      <c r="D3" s="31">
        <v>2</v>
      </c>
      <c r="E3" s="31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31">
        <v>12</v>
      </c>
      <c r="O3" s="31">
        <v>13</v>
      </c>
      <c r="P3" s="31">
        <v>14</v>
      </c>
      <c r="Q3" s="31">
        <v>15</v>
      </c>
      <c r="R3" s="31">
        <v>16</v>
      </c>
      <c r="S3" s="31">
        <v>17</v>
      </c>
      <c r="T3" s="31">
        <v>18</v>
      </c>
      <c r="U3" s="31">
        <v>19</v>
      </c>
      <c r="V3" s="31">
        <v>20</v>
      </c>
      <c r="W3" s="31">
        <v>21</v>
      </c>
      <c r="X3" s="31">
        <v>22</v>
      </c>
      <c r="Y3" s="31">
        <v>23</v>
      </c>
      <c r="Z3" s="32"/>
    </row>
    <row r="4" spans="1:26" s="27" customFormat="1" ht="267.75">
      <c r="A4" s="33"/>
      <c r="B4" s="34"/>
      <c r="C4" s="34" t="s">
        <v>24</v>
      </c>
      <c r="D4" s="34" t="s">
        <v>25</v>
      </c>
      <c r="E4" s="34" t="s">
        <v>26</v>
      </c>
      <c r="F4" s="34" t="s">
        <v>27</v>
      </c>
      <c r="G4" s="34" t="s">
        <v>28</v>
      </c>
      <c r="H4" s="34" t="s">
        <v>29</v>
      </c>
      <c r="I4" s="34" t="s">
        <v>30</v>
      </c>
      <c r="J4" s="34" t="s">
        <v>31</v>
      </c>
      <c r="K4" s="34" t="s">
        <v>32</v>
      </c>
      <c r="L4" s="34" t="s">
        <v>33</v>
      </c>
      <c r="M4" s="34" t="s">
        <v>92</v>
      </c>
      <c r="N4" s="34" t="s">
        <v>35</v>
      </c>
      <c r="O4" s="34" t="s">
        <v>36</v>
      </c>
      <c r="P4" s="34" t="s">
        <v>37</v>
      </c>
      <c r="Q4" s="34" t="s">
        <v>38</v>
      </c>
      <c r="R4" s="34" t="s">
        <v>109</v>
      </c>
      <c r="S4" s="34" t="s">
        <v>39</v>
      </c>
      <c r="T4" s="34" t="s">
        <v>40</v>
      </c>
      <c r="U4" s="34" t="s">
        <v>42</v>
      </c>
      <c r="V4" s="34" t="s">
        <v>43</v>
      </c>
      <c r="W4" s="34" t="s">
        <v>44</v>
      </c>
      <c r="X4" s="34" t="s">
        <v>45</v>
      </c>
      <c r="Y4" s="34" t="s">
        <v>46</v>
      </c>
      <c r="Z4" s="35" t="s">
        <v>47</v>
      </c>
    </row>
    <row r="5" spans="1:26" ht="15" customHeight="1">
      <c r="A5" s="76">
        <v>1</v>
      </c>
      <c r="B5" s="37" t="s">
        <v>24</v>
      </c>
      <c r="C5" s="38">
        <f>'[1]23valor'!D7/'[1]23valor'!D$110</f>
        <v>0.13812254430827303</v>
      </c>
      <c r="D5" s="38">
        <f>'[1]23valor'!E7/'[1]23valor'!E$110</f>
        <v>0.3193737011787706</v>
      </c>
      <c r="E5" s="38">
        <f>'[1]23valor'!F7/'[1]23valor'!F$110</f>
        <v>0.4522363106881413</v>
      </c>
      <c r="F5" s="38">
        <f>'[1]23valor'!G7/'[1]23valor'!G$110</f>
        <v>0.13289951195094482</v>
      </c>
      <c r="G5" s="38">
        <f>'[1]23valor'!H7/'[1]23valor'!H$110</f>
        <v>0</v>
      </c>
      <c r="H5" s="38">
        <f>'[1]23valor'!I7/'[1]23valor'!I$110</f>
        <v>0.049738413884072144</v>
      </c>
      <c r="I5" s="38">
        <f>'[1]23valor'!J7/'[1]23valor'!J$110</f>
        <v>0</v>
      </c>
      <c r="J5" s="38">
        <f>'[1]23valor'!K7/'[1]23valor'!K$110</f>
        <v>0</v>
      </c>
      <c r="K5" s="38">
        <f>'[1]23valor'!L7/'[1]23valor'!L$110</f>
        <v>0</v>
      </c>
      <c r="L5" s="38">
        <f>'[1]23valor'!M7/'[1]23valor'!M$110</f>
        <v>0</v>
      </c>
      <c r="M5" s="38">
        <f>'[1]23valor'!N7/'[1]23valor'!N$110</f>
        <v>0.004411066903896714</v>
      </c>
      <c r="N5" s="38">
        <f>'[1]23valor'!O7/'[1]23valor'!O$110</f>
        <v>0</v>
      </c>
      <c r="O5" s="38">
        <f>'[1]23valor'!P7/'[1]23valor'!P$110</f>
        <v>0.05997478626593074</v>
      </c>
      <c r="P5" s="38">
        <f>'[1]23valor'!Q7/'[1]23valor'!Q$110</f>
        <v>0</v>
      </c>
      <c r="Q5" s="38">
        <f>'[1]23valor'!R7/'[1]23valor'!R$110</f>
        <v>0.00016604256320626744</v>
      </c>
      <c r="R5" s="38">
        <f>'[1]23valor'!S7/'[1]23valor'!S$110</f>
        <v>0.020196109106863702</v>
      </c>
      <c r="S5" s="38">
        <f>'[1]23valor'!T7/'[1]23valor'!T$110</f>
        <v>0</v>
      </c>
      <c r="T5" s="38">
        <f>'[1]23valor'!U7/'[1]23valor'!U$110</f>
        <v>0</v>
      </c>
      <c r="U5" s="38">
        <f>'[1]23valor'!W7/'[1]23valor'!W$110</f>
        <v>0</v>
      </c>
      <c r="V5" s="38">
        <f>'[1]23valor'!X7/'[1]23valor'!X$110</f>
        <v>0.0011764163523580405</v>
      </c>
      <c r="W5" s="38">
        <f>'[1]23valor'!Y7/'[1]23valor'!Y$110</f>
        <v>0.0004465619548490524</v>
      </c>
      <c r="X5" s="38">
        <f>'[1]23valor'!Z7/'[1]23valor'!Z$110</f>
        <v>0.005132381315880658</v>
      </c>
      <c r="Y5" s="38">
        <f>'[1]23valor'!AA7/'[1]23valor'!AA$110</f>
        <v>0.003657037413116373</v>
      </c>
      <c r="Z5" s="39">
        <f>'[1]23valor'!AB7/'[1]23valor'!AB$110</f>
        <v>0.038445214381452035</v>
      </c>
    </row>
    <row r="6" spans="1:26" ht="15" customHeight="1">
      <c r="A6" s="76">
        <v>2</v>
      </c>
      <c r="B6" s="37" t="s">
        <v>61</v>
      </c>
      <c r="C6" s="38">
        <f>'[1]23valor'!D11/'[1]23valor'!D$110</f>
        <v>0.18530668446135382</v>
      </c>
      <c r="D6" s="38">
        <f>'[1]23valor'!E11/'[1]23valor'!E$110</f>
        <v>0.2026211374595748</v>
      </c>
      <c r="E6" s="38">
        <f>'[1]23valor'!F11/'[1]23valor'!F$110</f>
        <v>0</v>
      </c>
      <c r="F6" s="38">
        <f>'[1]23valor'!G11/'[1]23valor'!G$110</f>
        <v>0.048998671892976374</v>
      </c>
      <c r="G6" s="38">
        <f>'[1]23valor'!H11/'[1]23valor'!H$110</f>
        <v>0.05245535185720172</v>
      </c>
      <c r="H6" s="38">
        <f>'[1]23valor'!I11/'[1]23valor'!I$110</f>
        <v>0.0038267158715337983</v>
      </c>
      <c r="I6" s="38">
        <f>'[1]23valor'!J11/'[1]23valor'!J$110</f>
        <v>0.00036346471560066084</v>
      </c>
      <c r="J6" s="38">
        <f>'[1]23valor'!K11/'[1]23valor'!K$110</f>
        <v>0</v>
      </c>
      <c r="K6" s="38">
        <f>'[1]23valor'!L11/'[1]23valor'!L$110</f>
        <v>0</v>
      </c>
      <c r="L6" s="38">
        <f>'[1]23valor'!M11/'[1]23valor'!M$110</f>
        <v>0</v>
      </c>
      <c r="M6" s="38">
        <f>'[1]23valor'!N11/'[1]23valor'!N$110</f>
        <v>0</v>
      </c>
      <c r="N6" s="38">
        <f>'[1]23valor'!O11/'[1]23valor'!O$110</f>
        <v>0</v>
      </c>
      <c r="O6" s="38">
        <f>'[1]23valor'!P11/'[1]23valor'!P$110</f>
        <v>0</v>
      </c>
      <c r="P6" s="38">
        <f>'[1]23valor'!Q11/'[1]23valor'!Q$110</f>
        <v>0</v>
      </c>
      <c r="Q6" s="38">
        <f>'[1]23valor'!R11/'[1]23valor'!R$110</f>
        <v>0</v>
      </c>
      <c r="R6" s="38">
        <f>'[1]23valor'!S11/'[1]23valor'!S$110</f>
        <v>0.035480668455393764</v>
      </c>
      <c r="S6" s="38">
        <f>'[1]23valor'!T11/'[1]23valor'!T$110</f>
        <v>0</v>
      </c>
      <c r="T6" s="38">
        <f>'[1]23valor'!U11/'[1]23valor'!U$110</f>
        <v>0</v>
      </c>
      <c r="U6" s="38">
        <f>'[1]23valor'!W11/'[1]23valor'!W$110</f>
        <v>0</v>
      </c>
      <c r="V6" s="38">
        <f>'[1]23valor'!X11/'[1]23valor'!X$110</f>
        <v>0.0021137930975606008</v>
      </c>
      <c r="W6" s="38">
        <f>'[1]23valor'!Y11/'[1]23valor'!Y$110</f>
        <v>0.007180330712860663</v>
      </c>
      <c r="X6" s="38">
        <f>'[1]23valor'!Z11/'[1]23valor'!Z$110</f>
        <v>0.006564101120927557</v>
      </c>
      <c r="Y6" s="38">
        <f>'[1]23valor'!AA11/'[1]23valor'!AA$110</f>
        <v>0.004169898896703518</v>
      </c>
      <c r="Z6" s="39">
        <f>'[1]23valor'!AB11/'[1]23valor'!AB$110</f>
        <v>0.02287447756648533</v>
      </c>
    </row>
    <row r="7" spans="1:26" ht="15" customHeight="1">
      <c r="A7" s="76">
        <v>3</v>
      </c>
      <c r="B7" s="37" t="s">
        <v>26</v>
      </c>
      <c r="C7" s="38">
        <f>'[1]23valor'!D15/'[1]23valor'!D$110</f>
        <v>0</v>
      </c>
      <c r="D7" s="38">
        <f>'[1]23valor'!E15/'[1]23valor'!E$110</f>
        <v>0</v>
      </c>
      <c r="E7" s="38">
        <f>'[1]23valor'!F15/'[1]23valor'!F$110</f>
        <v>0.05880635350478942</v>
      </c>
      <c r="F7" s="38">
        <f>'[1]23valor'!G15/'[1]23valor'!G$110</f>
        <v>0.0006579983126178241</v>
      </c>
      <c r="G7" s="38">
        <f>'[1]23valor'!H15/'[1]23valor'!H$110</f>
        <v>0</v>
      </c>
      <c r="H7" s="38">
        <f>'[1]23valor'!I15/'[1]23valor'!I$110</f>
        <v>0</v>
      </c>
      <c r="I7" s="38">
        <f>'[1]23valor'!J15/'[1]23valor'!J$110</f>
        <v>0</v>
      </c>
      <c r="J7" s="38">
        <f>'[1]23valor'!K15/'[1]23valor'!K$110</f>
        <v>0</v>
      </c>
      <c r="K7" s="38">
        <f>'[1]23valor'!L15/'[1]23valor'!L$110</f>
        <v>0</v>
      </c>
      <c r="L7" s="38">
        <f>'[1]23valor'!M15/'[1]23valor'!M$110</f>
        <v>0</v>
      </c>
      <c r="M7" s="38">
        <f>'[1]23valor'!N15/'[1]23valor'!N$110</f>
        <v>0</v>
      </c>
      <c r="N7" s="38">
        <f>'[1]23valor'!O15/'[1]23valor'!O$110</f>
        <v>0</v>
      </c>
      <c r="O7" s="38">
        <f>'[1]23valor'!P15/'[1]23valor'!P$110</f>
        <v>0</v>
      </c>
      <c r="P7" s="38">
        <f>'[1]23valor'!Q15/'[1]23valor'!Q$110</f>
        <v>0</v>
      </c>
      <c r="Q7" s="38">
        <f>'[1]23valor'!R15/'[1]23valor'!R$110</f>
        <v>0</v>
      </c>
      <c r="R7" s="38">
        <f>'[1]23valor'!S15/'[1]23valor'!S$110</f>
        <v>0.0026495667179131884</v>
      </c>
      <c r="S7" s="38">
        <f>'[1]23valor'!T15/'[1]23valor'!T$110</f>
        <v>0</v>
      </c>
      <c r="T7" s="38">
        <f>'[1]23valor'!U15/'[1]23valor'!U$110</f>
        <v>0</v>
      </c>
      <c r="U7" s="38">
        <f>'[1]23valor'!W15/'[1]23valor'!W$110</f>
        <v>0</v>
      </c>
      <c r="V7" s="38">
        <f>'[1]23valor'!X15/'[1]23valor'!X$110</f>
        <v>0.00011781237781234367</v>
      </c>
      <c r="W7" s="38">
        <f>'[1]23valor'!Y15/'[1]23valor'!Y$110</f>
        <v>0.00047226336232237913</v>
      </c>
      <c r="X7" s="38">
        <f>'[1]23valor'!Z15/'[1]23valor'!Z$110</f>
        <v>0.0004326819066849355</v>
      </c>
      <c r="Y7" s="38">
        <f>'[1]23valor'!AA15/'[1]23valor'!AA$110</f>
        <v>0.00021390705094338194</v>
      </c>
      <c r="Z7" s="39">
        <f>'[1]23valor'!AB15/'[1]23valor'!AB$110</f>
        <v>0.0015786731311876188</v>
      </c>
    </row>
    <row r="8" spans="1:26" ht="15" customHeight="1">
      <c r="A8" s="76">
        <v>4</v>
      </c>
      <c r="B8" s="37" t="s">
        <v>27</v>
      </c>
      <c r="C8" s="38">
        <f>'[1]23valor'!D19/'[1]23valor'!D$110</f>
        <v>0</v>
      </c>
      <c r="D8" s="38">
        <f>'[1]23valor'!E19/'[1]23valor'!E$110</f>
        <v>0</v>
      </c>
      <c r="E8" s="38">
        <f>'[1]23valor'!F19/'[1]23valor'!F$110</f>
        <v>0</v>
      </c>
      <c r="F8" s="38">
        <f>'[1]23valor'!G19/'[1]23valor'!G$110</f>
        <v>0.21530269940780153</v>
      </c>
      <c r="G8" s="38">
        <f>'[1]23valor'!H19/'[1]23valor'!H$110</f>
        <v>0</v>
      </c>
      <c r="H8" s="38">
        <f>'[1]23valor'!I19/'[1]23valor'!I$110</f>
        <v>0</v>
      </c>
      <c r="I8" s="38">
        <f>'[1]23valor'!J19/'[1]23valor'!J$110</f>
        <v>0</v>
      </c>
      <c r="J8" s="38">
        <f>'[1]23valor'!K19/'[1]23valor'!K$110</f>
        <v>0</v>
      </c>
      <c r="K8" s="38">
        <f>'[1]23valor'!L19/'[1]23valor'!L$110</f>
        <v>0</v>
      </c>
      <c r="L8" s="38">
        <f>'[1]23valor'!M19/'[1]23valor'!M$110</f>
        <v>0</v>
      </c>
      <c r="M8" s="38">
        <f>'[1]23valor'!N19/'[1]23valor'!N$110</f>
        <v>0</v>
      </c>
      <c r="N8" s="38">
        <f>'[1]23valor'!O19/'[1]23valor'!O$110</f>
        <v>0</v>
      </c>
      <c r="O8" s="38">
        <f>'[1]23valor'!P19/'[1]23valor'!P$110</f>
        <v>0</v>
      </c>
      <c r="P8" s="38">
        <f>'[1]23valor'!Q19/'[1]23valor'!Q$110</f>
        <v>0</v>
      </c>
      <c r="Q8" s="38">
        <f>'[1]23valor'!R19/'[1]23valor'!R$110</f>
        <v>0</v>
      </c>
      <c r="R8" s="38">
        <f>'[1]23valor'!S19/'[1]23valor'!S$110</f>
        <v>0.03539656456179519</v>
      </c>
      <c r="S8" s="38">
        <f>'[1]23valor'!T19/'[1]23valor'!T$110</f>
        <v>0</v>
      </c>
      <c r="T8" s="38">
        <f>'[1]23valor'!U19/'[1]23valor'!U$110</f>
        <v>0</v>
      </c>
      <c r="U8" s="38">
        <f>'[1]23valor'!W19/'[1]23valor'!W$110</f>
        <v>8.742036799206542E-06</v>
      </c>
      <c r="V8" s="38">
        <f>'[1]23valor'!X19/'[1]23valor'!X$110</f>
        <v>0.00012122722934313623</v>
      </c>
      <c r="W8" s="38">
        <f>'[1]23valor'!Y19/'[1]23valor'!Y$110</f>
        <v>0.00029235351000909184</v>
      </c>
      <c r="X8" s="38">
        <f>'[1]23valor'!Z19/'[1]23valor'!Z$110</f>
        <v>0.0005558027744408115</v>
      </c>
      <c r="Y8" s="38">
        <f>'[1]23valor'!AA19/'[1]23valor'!AA$110</f>
        <v>0.0007396545014548266</v>
      </c>
      <c r="Z8" s="39">
        <f>'[1]23valor'!AB19/'[1]23valor'!AB$110</f>
        <v>0.006450768493407061</v>
      </c>
    </row>
    <row r="9" spans="1:26" ht="15" customHeight="1">
      <c r="A9" s="76">
        <v>5</v>
      </c>
      <c r="B9" s="37" t="s">
        <v>28</v>
      </c>
      <c r="C9" s="38">
        <f>'[1]23valor'!D23/'[1]23valor'!D$110</f>
        <v>0.0008191863910482099</v>
      </c>
      <c r="D9" s="38">
        <f>'[1]23valor'!E23/'[1]23valor'!E$110</f>
        <v>0.0007324911987978601</v>
      </c>
      <c r="E9" s="38">
        <f>'[1]23valor'!F23/'[1]23valor'!F$110</f>
        <v>3.875979007697694E-05</v>
      </c>
      <c r="F9" s="38">
        <f>'[1]23valor'!G23/'[1]23valor'!G$110</f>
        <v>0.000258355165690434</v>
      </c>
      <c r="G9" s="38">
        <f>'[1]23valor'!H23/'[1]23valor'!H$110</f>
        <v>0.27421608232970723</v>
      </c>
      <c r="H9" s="38">
        <f>'[1]23valor'!I23/'[1]23valor'!I$110</f>
        <v>0.00012894046507491884</v>
      </c>
      <c r="I9" s="38">
        <f>'[1]23valor'!J23/'[1]23valor'!J$110</f>
        <v>0.009442215403980804</v>
      </c>
      <c r="J9" s="38">
        <f>'[1]23valor'!K23/'[1]23valor'!K$110</f>
        <v>0.00012329442709189546</v>
      </c>
      <c r="K9" s="38">
        <f>'[1]23valor'!L23/'[1]23valor'!L$110</f>
        <v>0</v>
      </c>
      <c r="L9" s="38">
        <f>'[1]23valor'!M23/'[1]23valor'!M$110</f>
        <v>0.0003523000158175517</v>
      </c>
      <c r="M9" s="38">
        <f>'[1]23valor'!N23/'[1]23valor'!N$110</f>
        <v>0.0014112970288090597</v>
      </c>
      <c r="N9" s="38">
        <f>'[1]23valor'!O23/'[1]23valor'!O$110</f>
        <v>0.0016853978603843444</v>
      </c>
      <c r="O9" s="38">
        <f>'[1]23valor'!P23/'[1]23valor'!P$110</f>
        <v>0.05292765353363067</v>
      </c>
      <c r="P9" s="38">
        <f>'[1]23valor'!Q23/'[1]23valor'!Q$110</f>
        <v>0.0002345235403003576</v>
      </c>
      <c r="Q9" s="38">
        <f>'[1]23valor'!R23/'[1]23valor'!R$110</f>
        <v>0.0007060418557205632</v>
      </c>
      <c r="R9" s="38">
        <f>'[1]23valor'!S23/'[1]23valor'!S$110</f>
        <v>0.0018973367884545943</v>
      </c>
      <c r="S9" s="38">
        <f>'[1]23valor'!T23/'[1]23valor'!T$110</f>
        <v>0.0006942734812279126</v>
      </c>
      <c r="T9" s="38">
        <f>'[1]23valor'!U23/'[1]23valor'!U$110</f>
        <v>0.00022677030025183481</v>
      </c>
      <c r="U9" s="38">
        <f>'[1]23valor'!W23/'[1]23valor'!W$110</f>
        <v>0.00014702516435029182</v>
      </c>
      <c r="V9" s="38">
        <f>'[1]23valor'!X23/'[1]23valor'!X$110</f>
        <v>0.0030170213274552356</v>
      </c>
      <c r="W9" s="38">
        <f>'[1]23valor'!Y23/'[1]23valor'!Y$110</f>
        <v>0.000144570417037463</v>
      </c>
      <c r="X9" s="38">
        <f>'[1]23valor'!Z23/'[1]23valor'!Z$110</f>
        <v>0.0029812838692315677</v>
      </c>
      <c r="Y9" s="38">
        <f>'[1]23valor'!AA23/'[1]23valor'!AA$110</f>
        <v>0.0017318739546259355</v>
      </c>
      <c r="Z9" s="39">
        <f>'[1]23valor'!AB23/'[1]23valor'!AB$110</f>
        <v>0.005937675738924681</v>
      </c>
    </row>
    <row r="10" spans="1:26" ht="15" customHeight="1">
      <c r="A10" s="76">
        <v>6</v>
      </c>
      <c r="B10" s="37" t="s">
        <v>62</v>
      </c>
      <c r="C10" s="38">
        <f>'[1]23valor'!D27/'[1]23valor'!D$110</f>
        <v>8.465756016911591E-05</v>
      </c>
      <c r="D10" s="38">
        <f>'[1]23valor'!E27/'[1]23valor'!E$110</f>
        <v>0.014051769412273188</v>
      </c>
      <c r="E10" s="38">
        <f>'[1]23valor'!F27/'[1]23valor'!F$110</f>
        <v>0.00959434003705436</v>
      </c>
      <c r="F10" s="38">
        <f>'[1]23valor'!G27/'[1]23valor'!G$110</f>
        <v>0.00490067454919042</v>
      </c>
      <c r="G10" s="38">
        <f>'[1]23valor'!H27/'[1]23valor'!H$110</f>
        <v>0.0060999000715128045</v>
      </c>
      <c r="H10" s="38">
        <f>'[1]23valor'!I27/'[1]23valor'!I$110</f>
        <v>0.34449928119395906</v>
      </c>
      <c r="I10" s="38">
        <f>'[1]23valor'!J27/'[1]23valor'!J$110</f>
        <v>0.019973251514436317</v>
      </c>
      <c r="J10" s="38">
        <f>'[1]23valor'!K27/'[1]23valor'!K$110</f>
        <v>0.003071639422767656</v>
      </c>
      <c r="K10" s="38">
        <f>'[1]23valor'!L27/'[1]23valor'!L$110</f>
        <v>0.005172160445852092</v>
      </c>
      <c r="L10" s="38">
        <f>'[1]23valor'!M27/'[1]23valor'!M$110</f>
        <v>0.007587631633186182</v>
      </c>
      <c r="M10" s="38">
        <f>'[1]23valor'!N27/'[1]23valor'!N$110</f>
        <v>0.005696100706463116</v>
      </c>
      <c r="N10" s="38">
        <f>'[1]23valor'!O27/'[1]23valor'!O$110</f>
        <v>0.0024564213044119335</v>
      </c>
      <c r="O10" s="38">
        <f>'[1]23valor'!P27/'[1]23valor'!P$110</f>
        <v>0.018761984469187334</v>
      </c>
      <c r="P10" s="38">
        <f>'[1]23valor'!Q27/'[1]23valor'!Q$110</f>
        <v>0.0014113291621646524</v>
      </c>
      <c r="Q10" s="38">
        <f>'[1]23valor'!R27/'[1]23valor'!R$110</f>
        <v>0.0013759875020484596</v>
      </c>
      <c r="R10" s="38">
        <f>'[1]23valor'!S27/'[1]23valor'!S$110</f>
        <v>0.004859793516119129</v>
      </c>
      <c r="S10" s="38">
        <f>'[1]23valor'!T27/'[1]23valor'!T$110</f>
        <v>0.0026520465436773544</v>
      </c>
      <c r="T10" s="38">
        <f>'[1]23valor'!U27/'[1]23valor'!U$110</f>
        <v>0.01115815968607566</v>
      </c>
      <c r="U10" s="38">
        <f>'[1]23valor'!W27/'[1]23valor'!W$110</f>
        <v>0.01165075086148799</v>
      </c>
      <c r="V10" s="38">
        <f>'[1]23valor'!X27/'[1]23valor'!X$110</f>
        <v>0.00881031694944483</v>
      </c>
      <c r="W10" s="38">
        <f>'[1]23valor'!Y27/'[1]23valor'!Y$110</f>
        <v>0.015481885326745205</v>
      </c>
      <c r="X10" s="38">
        <f>'[1]23valor'!Z27/'[1]23valor'!Z$110</f>
        <v>0.003093851519751226</v>
      </c>
      <c r="Y10" s="38">
        <f>'[1]23valor'!AA27/'[1]23valor'!AA$110</f>
        <v>0.009837147150010708</v>
      </c>
      <c r="Z10" s="39">
        <f>'[1]23valor'!AB27/'[1]23valor'!AB$110</f>
        <v>0.019559043876400808</v>
      </c>
    </row>
    <row r="11" spans="1:26" ht="15" customHeight="1">
      <c r="A11" s="76">
        <v>7</v>
      </c>
      <c r="B11" s="37" t="s">
        <v>63</v>
      </c>
      <c r="C11" s="38">
        <f>'[1]23valor'!D31/'[1]23valor'!D$110</f>
        <v>0.08771643701228529</v>
      </c>
      <c r="D11" s="38">
        <f>'[1]23valor'!E31/'[1]23valor'!E$110</f>
        <v>0.014736516759348374</v>
      </c>
      <c r="E11" s="38">
        <f>'[1]23valor'!F31/'[1]23valor'!F$110</f>
        <v>0.0021602123002901815</v>
      </c>
      <c r="F11" s="38">
        <f>'[1]23valor'!G31/'[1]23valor'!G$110</f>
        <v>0.048001582425389856</v>
      </c>
      <c r="G11" s="38">
        <f>'[1]23valor'!H31/'[1]23valor'!H$110</f>
        <v>0.1253273723543815</v>
      </c>
      <c r="H11" s="38">
        <f>'[1]23valor'!I31/'[1]23valor'!I$110</f>
        <v>0.0557422969187675</v>
      </c>
      <c r="I11" s="38">
        <f>'[1]23valor'!J31/'[1]23valor'!J$110</f>
        <v>0.34370073164975223</v>
      </c>
      <c r="J11" s="38">
        <f>'[1]23valor'!K31/'[1]23valor'!K$110</f>
        <v>0.024481984718638543</v>
      </c>
      <c r="K11" s="38">
        <f>'[1]23valor'!L31/'[1]23valor'!L$110</f>
        <v>0.000725855137018435</v>
      </c>
      <c r="L11" s="38">
        <f>'[1]23valor'!M31/'[1]23valor'!M$110</f>
        <v>0.02285875884944087</v>
      </c>
      <c r="M11" s="38">
        <f>'[1]23valor'!N31/'[1]23valor'!N$110</f>
        <v>0.07376148333495122</v>
      </c>
      <c r="N11" s="38">
        <f>'[1]23valor'!O31/'[1]23valor'!O$110</f>
        <v>0.018903385540392212</v>
      </c>
      <c r="O11" s="38">
        <f>'[1]23valor'!P31/'[1]23valor'!P$110</f>
        <v>0.05994936065174324</v>
      </c>
      <c r="P11" s="38">
        <f>'[1]23valor'!Q31/'[1]23valor'!Q$110</f>
        <v>0.006093424127446792</v>
      </c>
      <c r="Q11" s="38">
        <f>'[1]23valor'!R31/'[1]23valor'!R$110</f>
        <v>0.015903989858409007</v>
      </c>
      <c r="R11" s="38">
        <f>'[1]23valor'!S31/'[1]23valor'!S$110</f>
        <v>0.011221106195575078</v>
      </c>
      <c r="S11" s="38">
        <f>'[1]23valor'!T31/'[1]23valor'!T$110</f>
        <v>0.01160074976325664</v>
      </c>
      <c r="T11" s="38">
        <f>'[1]23valor'!U31/'[1]23valor'!U$110</f>
        <v>0.0005914593796042007</v>
      </c>
      <c r="U11" s="38">
        <f>'[1]23valor'!W31/'[1]23valor'!W$110</f>
        <v>0.0027616888979311574</v>
      </c>
      <c r="V11" s="38">
        <f>'[1]23valor'!X31/'[1]23valor'!X$110</f>
        <v>0.003971472330311759</v>
      </c>
      <c r="W11" s="38">
        <f>'[1]23valor'!Y31/'[1]23valor'!Y$110</f>
        <v>0.0011019478454188847</v>
      </c>
      <c r="X11" s="38">
        <f>'[1]23valor'!Z31/'[1]23valor'!Z$110</f>
        <v>0.08232916539881488</v>
      </c>
      <c r="Y11" s="38">
        <f>'[1]23valor'!AA31/'[1]23valor'!AA$110</f>
        <v>0.007479015202863787</v>
      </c>
      <c r="Z11" s="39">
        <f>'[1]23valor'!AB31/'[1]23valor'!AB$110</f>
        <v>0.03855566675418574</v>
      </c>
    </row>
    <row r="12" spans="1:26" ht="15" customHeight="1">
      <c r="A12" s="76">
        <v>8</v>
      </c>
      <c r="B12" s="37" t="s">
        <v>64</v>
      </c>
      <c r="C12" s="38">
        <f>'[1]23valor'!D35/'[1]23valor'!D$110</f>
        <v>0.00016309029973756155</v>
      </c>
      <c r="D12" s="38">
        <f>'[1]23valor'!E35/'[1]23valor'!E$110</f>
        <v>0.015780599411494206</v>
      </c>
      <c r="E12" s="38">
        <f>'[1]23valor'!F35/'[1]23valor'!F$110</f>
        <v>0.010914756885676707</v>
      </c>
      <c r="F12" s="38">
        <f>'[1]23valor'!G35/'[1]23valor'!G$110</f>
        <v>0.03300083561748903</v>
      </c>
      <c r="G12" s="38">
        <f>'[1]23valor'!H35/'[1]23valor'!H$110</f>
        <v>0</v>
      </c>
      <c r="H12" s="38">
        <f>'[1]23valor'!I35/'[1]23valor'!I$110</f>
        <v>0</v>
      </c>
      <c r="I12" s="38">
        <f>'[1]23valor'!J35/'[1]23valor'!J$110</f>
        <v>0.011476673747148138</v>
      </c>
      <c r="J12" s="38">
        <f>'[1]23valor'!K35/'[1]23valor'!K$110</f>
        <v>0.16202674595630018</v>
      </c>
      <c r="K12" s="38">
        <f>'[1]23valor'!L35/'[1]23valor'!L$110</f>
        <v>0.002891913088584423</v>
      </c>
      <c r="L12" s="38">
        <f>'[1]23valor'!M35/'[1]23valor'!M$110</f>
        <v>0.0017471204866054096</v>
      </c>
      <c r="M12" s="38">
        <f>'[1]23valor'!N35/'[1]23valor'!N$110</f>
        <v>0.003887685466084408</v>
      </c>
      <c r="N12" s="38">
        <f>'[1]23valor'!O35/'[1]23valor'!O$110</f>
        <v>0.010724188633496617</v>
      </c>
      <c r="O12" s="38">
        <f>'[1]23valor'!P35/'[1]23valor'!P$110</f>
        <v>0.0031104001356032757</v>
      </c>
      <c r="P12" s="38">
        <f>'[1]23valor'!Q35/'[1]23valor'!Q$110</f>
        <v>0.01188950590915563</v>
      </c>
      <c r="Q12" s="38">
        <f>'[1]23valor'!R35/'[1]23valor'!R$110</f>
        <v>0.16254628436449373</v>
      </c>
      <c r="R12" s="38">
        <f>'[1]23valor'!S35/'[1]23valor'!S$110</f>
        <v>0.0015462177361584399</v>
      </c>
      <c r="S12" s="38">
        <f>'[1]23valor'!T35/'[1]23valor'!T$110</f>
        <v>0.00025269991624430585</v>
      </c>
      <c r="T12" s="38">
        <f>'[1]23valor'!U35/'[1]23valor'!U$110</f>
        <v>9.282994747151131E-06</v>
      </c>
      <c r="U12" s="38">
        <f>'[1]23valor'!W35/'[1]23valor'!W$110</f>
        <v>0.00021139834441717635</v>
      </c>
      <c r="V12" s="38">
        <f>'[1]23valor'!X35/'[1]23valor'!X$110</f>
        <v>0.0005395465418652261</v>
      </c>
      <c r="W12" s="38">
        <f>'[1]23valor'!Y35/'[1]23valor'!Y$110</f>
        <v>3.2126759341658444E-05</v>
      </c>
      <c r="X12" s="38">
        <f>'[1]23valor'!Z35/'[1]23valor'!Z$110</f>
        <v>0.0013437763280784176</v>
      </c>
      <c r="Y12" s="38">
        <f>'[1]23valor'!AA35/'[1]23valor'!AA$110</f>
        <v>0.00017524915017048156</v>
      </c>
      <c r="Z12" s="39">
        <f>'[1]23valor'!AB35/'[1]23valor'!AB$110</f>
        <v>0.021867425095004847</v>
      </c>
    </row>
    <row r="13" spans="1:26" ht="15" customHeight="1">
      <c r="A13" s="76">
        <v>9</v>
      </c>
      <c r="B13" s="37" t="s">
        <v>32</v>
      </c>
      <c r="C13" s="38">
        <f>'[1]23valor'!D39/'[1]23valor'!D$110</f>
        <v>0</v>
      </c>
      <c r="D13" s="38">
        <f>'[1]23valor'!E39/'[1]23valor'!E$110</f>
        <v>0</v>
      </c>
      <c r="E13" s="38">
        <f>'[1]23valor'!F39/'[1]23valor'!F$110</f>
        <v>0</v>
      </c>
      <c r="F13" s="38">
        <f>'[1]23valor'!G39/'[1]23valor'!G$110</f>
        <v>0</v>
      </c>
      <c r="G13" s="38">
        <f>'[1]23valor'!H39/'[1]23valor'!H$110</f>
        <v>0</v>
      </c>
      <c r="H13" s="38">
        <f>'[1]23valor'!I39/'[1]23valor'!I$110</f>
        <v>0.00035125161175581345</v>
      </c>
      <c r="I13" s="38">
        <f>'[1]23valor'!J39/'[1]23valor'!J$110</f>
        <v>0.005001966800409094</v>
      </c>
      <c r="J13" s="38">
        <f>'[1]23valor'!K39/'[1]23valor'!K$110</f>
        <v>0.024544525370061968</v>
      </c>
      <c r="K13" s="38">
        <f>'[1]23valor'!L39/'[1]23valor'!L$110</f>
        <v>0.5543240606814894</v>
      </c>
      <c r="L13" s="38">
        <f>'[1]23valor'!M39/'[1]23valor'!M$110</f>
        <v>0.3288996256512757</v>
      </c>
      <c r="M13" s="38">
        <f>'[1]23valor'!N39/'[1]23valor'!N$110</f>
        <v>0.17319988351199128</v>
      </c>
      <c r="N13" s="38">
        <f>'[1]23valor'!O39/'[1]23valor'!O$110</f>
        <v>0.046731393043791675</v>
      </c>
      <c r="O13" s="38">
        <f>'[1]23valor'!P39/'[1]23valor'!P$110</f>
        <v>0.05208860826544341</v>
      </c>
      <c r="P13" s="38">
        <f>'[1]23valor'!Q39/'[1]23valor'!Q$110</f>
        <v>0.0006742551783635283</v>
      </c>
      <c r="Q13" s="38">
        <f>'[1]23valor'!R39/'[1]23valor'!R$110</f>
        <v>0.053782630070885726</v>
      </c>
      <c r="R13" s="38">
        <f>'[1]23valor'!S39/'[1]23valor'!S$110</f>
        <v>0</v>
      </c>
      <c r="S13" s="38">
        <f>'[1]23valor'!T39/'[1]23valor'!T$110</f>
        <v>0.000395983373908603</v>
      </c>
      <c r="T13" s="38">
        <f>'[1]23valor'!U39/'[1]23valor'!U$110</f>
        <v>0</v>
      </c>
      <c r="U13" s="38">
        <f>'[1]23valor'!W39/'[1]23valor'!W$110</f>
        <v>0</v>
      </c>
      <c r="V13" s="38">
        <f>'[1]23valor'!X39/'[1]23valor'!X$110</f>
        <v>0.0003739262426217864</v>
      </c>
      <c r="W13" s="38">
        <f>'[1]23valor'!Y39/'[1]23valor'!Y$110</f>
        <v>0</v>
      </c>
      <c r="X13" s="38">
        <f>'[1]23valor'!Z39/'[1]23valor'!Z$110</f>
        <v>0</v>
      </c>
      <c r="Y13" s="38">
        <f>'[1]23valor'!AA39/'[1]23valor'!AA$110</f>
        <v>0</v>
      </c>
      <c r="Z13" s="39">
        <f>'[1]23valor'!AB39/'[1]23valor'!AB$110</f>
        <v>0.06923997931148608</v>
      </c>
    </row>
    <row r="14" spans="1:26" ht="15" customHeight="1">
      <c r="A14" s="76">
        <v>10</v>
      </c>
      <c r="B14" s="37" t="s">
        <v>65</v>
      </c>
      <c r="C14" s="38">
        <f>'[1]23valor'!D43/'[1]23valor'!D$110</f>
        <v>0.00016309029973756155</v>
      </c>
      <c r="D14" s="38">
        <f>'[1]23valor'!E43/'[1]23valor'!E$110</f>
        <v>0.004004201458951595</v>
      </c>
      <c r="E14" s="38">
        <f>'[1]23valor'!F43/'[1]23valor'!F$110</f>
        <v>0.012948353871715432</v>
      </c>
      <c r="F14" s="38">
        <f>'[1]23valor'!G43/'[1]23valor'!G$110</f>
        <v>0.03059893993646078</v>
      </c>
      <c r="G14" s="38">
        <f>'[1]23valor'!H43/'[1]23valor'!H$110</f>
        <v>0.0015012952815757444</v>
      </c>
      <c r="H14" s="38">
        <f>'[1]23valor'!I43/'[1]23valor'!I$110</f>
        <v>0.0007321447097357461</v>
      </c>
      <c r="I14" s="38">
        <f>'[1]23valor'!J43/'[1]23valor'!J$110</f>
        <v>0.0015356777594209739</v>
      </c>
      <c r="J14" s="38">
        <f>'[1]23valor'!K43/'[1]23valor'!K$110</f>
        <v>0.0006575702778234423</v>
      </c>
      <c r="K14" s="38">
        <f>'[1]23valor'!L43/'[1]23valor'!L$110</f>
        <v>0.0010878975163361665</v>
      </c>
      <c r="L14" s="38">
        <f>'[1]23valor'!M43/'[1]23valor'!M$110</f>
        <v>0.04610337009715811</v>
      </c>
      <c r="M14" s="38">
        <f>'[1]23valor'!N43/'[1]23valor'!N$110</f>
        <v>0.022535270546115607</v>
      </c>
      <c r="N14" s="38">
        <f>'[1]23valor'!O43/'[1]23valor'!O$110</f>
        <v>0.015629863693704026</v>
      </c>
      <c r="O14" s="38">
        <f>'[1]23valor'!P43/'[1]23valor'!P$110</f>
        <v>0.016467322788766118</v>
      </c>
      <c r="P14" s="38">
        <f>'[1]23valor'!Q43/'[1]23valor'!Q$110</f>
        <v>0.005247464214220502</v>
      </c>
      <c r="Q14" s="38">
        <f>'[1]23valor'!R43/'[1]23valor'!R$110</f>
        <v>0.05358337899503821</v>
      </c>
      <c r="R14" s="38">
        <f>'[1]23valor'!S43/'[1]23valor'!S$110</f>
        <v>0.00027524910632261313</v>
      </c>
      <c r="S14" s="38">
        <f>'[1]23valor'!T43/'[1]23valor'!T$110</f>
        <v>0.00032955195262788345</v>
      </c>
      <c r="T14" s="38">
        <f>'[1]23valor'!U43/'[1]23valor'!U$110</f>
        <v>0</v>
      </c>
      <c r="U14" s="38">
        <f>'[1]23valor'!W43/'[1]23valor'!W$110</f>
        <v>7.947306181096855E-05</v>
      </c>
      <c r="V14" s="38">
        <f>'[1]23valor'!X43/'[1]23valor'!X$110</f>
        <v>0.0015127792281411086</v>
      </c>
      <c r="W14" s="38">
        <f>'[1]23valor'!Y43/'[1]23valor'!Y$110</f>
        <v>0.0002152492875891116</v>
      </c>
      <c r="X14" s="38">
        <f>'[1]23valor'!Z43/'[1]23valor'!Z$110</f>
        <v>0.0014299609355075307</v>
      </c>
      <c r="Y14" s="38">
        <f>'[1]23valor'!AA43/'[1]23valor'!AA$110</f>
        <v>0.00014947721632188133</v>
      </c>
      <c r="Z14" s="39">
        <f>'[1]23valor'!AB43/'[1]23valor'!AB$110</f>
        <v>0.010619061562325956</v>
      </c>
    </row>
    <row r="15" spans="1:26" ht="15" customHeight="1">
      <c r="A15" s="76">
        <v>11</v>
      </c>
      <c r="B15" s="37" t="s">
        <v>66</v>
      </c>
      <c r="C15" s="38">
        <f>'[1]23valor'!D47/'[1]23valor'!D$110</f>
        <v>0.04164902967496477</v>
      </c>
      <c r="D15" s="38">
        <f>'[1]23valor'!E47/'[1]23valor'!E$110</f>
        <v>0.013784152559196093</v>
      </c>
      <c r="E15" s="38">
        <f>'[1]23valor'!F47/'[1]23valor'!F$110</f>
        <v>0.012749386949320282</v>
      </c>
      <c r="F15" s="38">
        <f>'[1]23valor'!G47/'[1]23valor'!G$110</f>
        <v>0.012001404806213443</v>
      </c>
      <c r="G15" s="38">
        <f>'[1]23valor'!H47/'[1]23valor'!H$110</f>
        <v>0.009685012147704723</v>
      </c>
      <c r="H15" s="38">
        <f>'[1]23valor'!I47/'[1]23valor'!I$110</f>
        <v>0.016815615134942865</v>
      </c>
      <c r="I15" s="38">
        <f>'[1]23valor'!J47/'[1]23valor'!J$110</f>
        <v>0.0157139485485013</v>
      </c>
      <c r="J15" s="38">
        <f>'[1]23valor'!K47/'[1]23valor'!K$110</f>
        <v>0.04738794502140677</v>
      </c>
      <c r="K15" s="38">
        <f>'[1]23valor'!L47/'[1]23valor'!L$110</f>
        <v>0.04223060594740914</v>
      </c>
      <c r="L15" s="38">
        <f>'[1]23valor'!M47/'[1]23valor'!M$110</f>
        <v>0.02060355942845913</v>
      </c>
      <c r="M15" s="38">
        <f>'[1]23valor'!N47/'[1]23valor'!N$110</f>
        <v>0.24939974054943514</v>
      </c>
      <c r="N15" s="38">
        <f>'[1]23valor'!O47/'[1]23valor'!O$110</f>
        <v>0.0665035878700503</v>
      </c>
      <c r="O15" s="38">
        <f>'[1]23valor'!P47/'[1]23valor'!P$110</f>
        <v>0.010174483277361668</v>
      </c>
      <c r="P15" s="38">
        <f>'[1]23valor'!Q47/'[1]23valor'!Q$110</f>
        <v>0.01949058136710472</v>
      </c>
      <c r="Q15" s="38">
        <f>'[1]23valor'!R47/'[1]23valor'!R$110</f>
        <v>0.1047721354589669</v>
      </c>
      <c r="R15" s="38">
        <f>'[1]23valor'!S47/'[1]23valor'!S$110</f>
        <v>0.015804474327139443</v>
      </c>
      <c r="S15" s="38">
        <f>'[1]23valor'!T47/'[1]23valor'!T$110</f>
        <v>0.005291067318476137</v>
      </c>
      <c r="T15" s="38">
        <f>'[1]23valor'!U47/'[1]23valor'!U$110</f>
        <v>0.006410570943961224</v>
      </c>
      <c r="U15" s="38">
        <f>'[1]23valor'!W47/'[1]23valor'!W$110</f>
        <v>0.01122159632770876</v>
      </c>
      <c r="V15" s="38">
        <f>'[1]23valor'!X47/'[1]23valor'!X$110</f>
        <v>0.00041831931252208986</v>
      </c>
      <c r="W15" s="38">
        <f>'[1]23valor'!Y47/'[1]23valor'!Y$110</f>
        <v>0.0015420844483996054</v>
      </c>
      <c r="X15" s="38">
        <f>'[1]23valor'!Z47/'[1]23valor'!Z$110</f>
        <v>0.01489938386800036</v>
      </c>
      <c r="Y15" s="38">
        <f>'[1]23valor'!AA47/'[1]23valor'!AA$110</f>
        <v>0.026413655001430378</v>
      </c>
      <c r="Z15" s="39">
        <f>'[1]23valor'!AB47/'[1]23valor'!AB$110</f>
        <v>0.04965248985723255</v>
      </c>
    </row>
    <row r="16" spans="1:26" ht="15" customHeight="1">
      <c r="A16" s="76">
        <v>12</v>
      </c>
      <c r="B16" s="37" t="s">
        <v>35</v>
      </c>
      <c r="C16" s="38">
        <f>'[1]23valor'!D51/'[1]23valor'!D$110</f>
        <v>0</v>
      </c>
      <c r="D16" s="38">
        <f>'[1]23valor'!E51/'[1]23valor'!E$110</f>
        <v>0</v>
      </c>
      <c r="E16" s="38">
        <f>'[1]23valor'!F51/'[1]23valor'!F$110</f>
        <v>0</v>
      </c>
      <c r="F16" s="38">
        <f>'[1]23valor'!G51/'[1]23valor'!G$110</f>
        <v>0</v>
      </c>
      <c r="G16" s="38">
        <f>'[1]23valor'!H51/'[1]23valor'!H$110</f>
        <v>0</v>
      </c>
      <c r="H16" s="38">
        <f>'[1]23valor'!I51/'[1]23valor'!I$110</f>
        <v>0</v>
      </c>
      <c r="I16" s="38">
        <f>'[1]23valor'!J51/'[1]23valor'!J$110</f>
        <v>0</v>
      </c>
      <c r="J16" s="38">
        <f>'[1]23valor'!K51/'[1]23valor'!K$110</f>
        <v>0</v>
      </c>
      <c r="K16" s="38">
        <f>'[1]23valor'!L51/'[1]23valor'!L$110</f>
        <v>0</v>
      </c>
      <c r="L16" s="38">
        <f>'[1]23valor'!M51/'[1]23valor'!M$110</f>
        <v>0</v>
      </c>
      <c r="M16" s="38">
        <f>'[1]23valor'!N51/'[1]23valor'!N$110</f>
        <v>0</v>
      </c>
      <c r="N16" s="38">
        <f>'[1]23valor'!O51/'[1]23valor'!O$110</f>
        <v>0.504557536984551</v>
      </c>
      <c r="O16" s="38">
        <f>'[1]23valor'!P51/'[1]23valor'!P$110</f>
        <v>0</v>
      </c>
      <c r="P16" s="38">
        <f>'[1]23valor'!Q51/'[1]23valor'!Q$110</f>
        <v>0</v>
      </c>
      <c r="Q16" s="38">
        <f>'[1]23valor'!R51/'[1]23valor'!R$110</f>
        <v>0</v>
      </c>
      <c r="R16" s="38">
        <f>'[1]23valor'!S51/'[1]23valor'!S$110</f>
        <v>0.010215388307088607</v>
      </c>
      <c r="S16" s="38">
        <f>'[1]23valor'!T51/'[1]23valor'!T$110</f>
        <v>0.00838859515780067</v>
      </c>
      <c r="T16" s="38">
        <f>'[1]23valor'!U51/'[1]23valor'!U$110</f>
        <v>0</v>
      </c>
      <c r="U16" s="38">
        <f>'[1]23valor'!W51/'[1]23valor'!W$110</f>
        <v>0.0002566979896494284</v>
      </c>
      <c r="V16" s="38">
        <f>'[1]23valor'!X51/'[1]23valor'!X$110</f>
        <v>0.0005327168388036409</v>
      </c>
      <c r="W16" s="38">
        <f>'[1]23valor'!Y51/'[1]23valor'!Y$110</f>
        <v>6.746619461748274E-05</v>
      </c>
      <c r="X16" s="38">
        <f>'[1]23valor'!Z51/'[1]23valor'!Z$110</f>
        <v>0</v>
      </c>
      <c r="Y16" s="38">
        <f>'[1]23valor'!AA51/'[1]23valor'!AA$110</f>
        <v>0.00019071231047964172</v>
      </c>
      <c r="Z16" s="39">
        <f>'[1]23valor'!AB51/'[1]23valor'!AB$110</f>
        <v>0.05700770355915134</v>
      </c>
    </row>
    <row r="17" spans="1:26" ht="15" customHeight="1">
      <c r="A17" s="76">
        <v>13</v>
      </c>
      <c r="B17" s="37" t="s">
        <v>67</v>
      </c>
      <c r="C17" s="38">
        <f>'[1]23valor'!D55/'[1]23valor'!D$110</f>
        <v>0.00014068094557514852</v>
      </c>
      <c r="D17" s="38">
        <f>'[1]23valor'!E55/'[1]23valor'!E$110</f>
        <v>0.0038923803325484918</v>
      </c>
      <c r="E17" s="38">
        <f>'[1]23valor'!F55/'[1]23valor'!F$110</f>
        <v>0.0007286840534471665</v>
      </c>
      <c r="F17" s="38">
        <f>'[1]23valor'!G55/'[1]23valor'!G$110</f>
        <v>0.005599040856447374</v>
      </c>
      <c r="G17" s="38">
        <f>'[1]23valor'!H55/'[1]23valor'!H$110</f>
        <v>0.001463407703491814</v>
      </c>
      <c r="H17" s="38">
        <f>'[1]23valor'!I55/'[1]23valor'!I$110</f>
        <v>0.0038711781008699776</v>
      </c>
      <c r="I17" s="38">
        <f>'[1]23valor'!J55/'[1]23valor'!J$110</f>
        <v>0</v>
      </c>
      <c r="J17" s="38">
        <f>'[1]23valor'!K55/'[1]23valor'!K$110</f>
        <v>0.0006111115081946123</v>
      </c>
      <c r="K17" s="38">
        <f>'[1]23valor'!L55/'[1]23valor'!L$110</f>
        <v>0.022133270543913352</v>
      </c>
      <c r="L17" s="38">
        <f>'[1]23valor'!M55/'[1]23valor'!M$110</f>
        <v>0.0014547354394643121</v>
      </c>
      <c r="M17" s="38">
        <f>'[1]23valor'!N55/'[1]23valor'!N$110</f>
        <v>0.0028029078556770595</v>
      </c>
      <c r="N17" s="38">
        <f>'[1]23valor'!O55/'[1]23valor'!O$110</f>
        <v>0.02153233997935746</v>
      </c>
      <c r="O17" s="38">
        <f>'[1]23valor'!P55/'[1]23valor'!P$110</f>
        <v>0.24485502102910173</v>
      </c>
      <c r="P17" s="38">
        <f>'[1]23valor'!Q55/'[1]23valor'!Q$110</f>
        <v>0.0003224698679129918</v>
      </c>
      <c r="Q17" s="38">
        <f>'[1]23valor'!R55/'[1]23valor'!R$110</f>
        <v>0.015260033482843832</v>
      </c>
      <c r="R17" s="38">
        <f>'[1]23valor'!S55/'[1]23valor'!S$110</f>
        <v>0.0006616565055832047</v>
      </c>
      <c r="S17" s="38">
        <f>'[1]23valor'!T55/'[1]23valor'!T$110</f>
        <v>0.00048455860228289587</v>
      </c>
      <c r="T17" s="38">
        <f>'[1]23valor'!U55/'[1]23valor'!U$110</f>
        <v>0.0007757931324404874</v>
      </c>
      <c r="U17" s="38">
        <f>'[1]23valor'!W55/'[1]23valor'!W$110</f>
        <v>0.00042597561130679147</v>
      </c>
      <c r="V17" s="38">
        <f>'[1]23valor'!X55/'[1]23valor'!X$110</f>
        <v>0.0023989332003817804</v>
      </c>
      <c r="W17" s="38">
        <f>'[1]23valor'!Y55/'[1]23valor'!Y$110</f>
        <v>7.389154648581442E-05</v>
      </c>
      <c r="X17" s="38">
        <f>'[1]23valor'!Z55/'[1]23valor'!Z$110</f>
        <v>0.0024835237895899547</v>
      </c>
      <c r="Y17" s="38">
        <f>'[1]23valor'!AA55/'[1]23valor'!AA$110</f>
        <v>0.0034276672018638305</v>
      </c>
      <c r="Z17" s="39">
        <f>'[1]23valor'!AB55/'[1]23valor'!AB$110</f>
        <v>0.012614654303827218</v>
      </c>
    </row>
    <row r="18" spans="1:26" ht="15" customHeight="1">
      <c r="A18" s="76">
        <v>14</v>
      </c>
      <c r="B18" s="37" t="s">
        <v>37</v>
      </c>
      <c r="C18" s="38">
        <f>'[1]23valor'!D59/'[1]23valor'!D$110</f>
        <v>0.029994920546389855</v>
      </c>
      <c r="D18" s="38">
        <f>'[1]23valor'!E59/'[1]23valor'!E$110</f>
        <v>0.026216400264350168</v>
      </c>
      <c r="E18" s="38">
        <f>'[1]23valor'!F59/'[1]23valor'!F$110</f>
        <v>0.015516835960816436</v>
      </c>
      <c r="F18" s="38">
        <f>'[1]23valor'!G59/'[1]23valor'!G$110</f>
        <v>0.013599977393923003</v>
      </c>
      <c r="G18" s="38">
        <f>'[1]23valor'!H59/'[1]23valor'!H$110</f>
        <v>0.029964338317128504</v>
      </c>
      <c r="H18" s="38">
        <f>'[1]23valor'!I59/'[1]23valor'!I$110</f>
        <v>0.03260415277222</v>
      </c>
      <c r="I18" s="38">
        <f>'[1]23valor'!J59/'[1]23valor'!J$110</f>
        <v>0.08538588624026433</v>
      </c>
      <c r="J18" s="38">
        <f>'[1]23valor'!K59/'[1]23valor'!K$110</f>
        <v>0.0813225024837573</v>
      </c>
      <c r="K18" s="38">
        <f>'[1]23valor'!L59/'[1]23valor'!L$110</f>
        <v>0.027786088720742286</v>
      </c>
      <c r="L18" s="38">
        <f>'[1]23valor'!M59/'[1]23valor'!M$110</f>
        <v>0.016495789176001415</v>
      </c>
      <c r="M18" s="38">
        <f>'[1]23valor'!N59/'[1]23valor'!N$110</f>
        <v>0.009211106004766777</v>
      </c>
      <c r="N18" s="38">
        <f>'[1]23valor'!O59/'[1]23valor'!O$110</f>
        <v>0.007226424908664953</v>
      </c>
      <c r="O18" s="38">
        <f>'[1]23valor'!P59/'[1]23valor'!P$110</f>
        <v>0.014488362484506266</v>
      </c>
      <c r="P18" s="38">
        <f>'[1]23valor'!Q59/'[1]23valor'!Q$110</f>
        <v>0.003961772662931041</v>
      </c>
      <c r="Q18" s="38">
        <f>'[1]23valor'!R59/'[1]23valor'!R$110</f>
        <v>0.011647524846825736</v>
      </c>
      <c r="R18" s="38">
        <f>'[1]23valor'!S59/'[1]23valor'!S$110</f>
        <v>0.022326348985283583</v>
      </c>
      <c r="S18" s="38">
        <f>'[1]23valor'!T59/'[1]23valor'!T$110</f>
        <v>0.0897996506488786</v>
      </c>
      <c r="T18" s="38">
        <f>'[1]23valor'!U59/'[1]23valor'!U$110</f>
        <v>0.006776586165420326</v>
      </c>
      <c r="U18" s="38">
        <f>'[1]23valor'!W59/'[1]23valor'!W$110</f>
        <v>0.03158974733924189</v>
      </c>
      <c r="V18" s="38">
        <f>'[1]23valor'!X59/'[1]23valor'!X$110</f>
        <v>0.03312747470021872</v>
      </c>
      <c r="W18" s="38">
        <f>'[1]23valor'!Y59/'[1]23valor'!Y$110</f>
        <v>0.022858189271589984</v>
      </c>
      <c r="X18" s="38">
        <f>'[1]23valor'!Z59/'[1]23valor'!Z$110</f>
        <v>0.01356088414854005</v>
      </c>
      <c r="Y18" s="38">
        <f>'[1]23valor'!AA59/'[1]23valor'!AA$110</f>
        <v>0.03464005628590357</v>
      </c>
      <c r="Z18" s="39">
        <f>'[1]23valor'!AB59/'[1]23valor'!AB$110</f>
        <v>0.02662483511159584</v>
      </c>
    </row>
    <row r="19" spans="1:26" ht="15" customHeight="1">
      <c r="A19" s="76">
        <v>15</v>
      </c>
      <c r="B19" s="37" t="s">
        <v>38</v>
      </c>
      <c r="C19" s="38">
        <f>'[1]23valor'!D63/'[1]23valor'!D$110</f>
        <v>0.01869811612029341</v>
      </c>
      <c r="D19" s="38">
        <f>'[1]23valor'!E63/'[1]23valor'!E$110</f>
        <v>0.004861077955658526</v>
      </c>
      <c r="E19" s="38">
        <f>'[1]23valor'!F63/'[1]23valor'!F$110</f>
        <v>0.0031627988702813184</v>
      </c>
      <c r="F19" s="38">
        <f>'[1]23valor'!G63/'[1]23valor'!G$110</f>
        <v>0.0024987788681621664</v>
      </c>
      <c r="G19" s="38">
        <f>'[1]23valor'!H63/'[1]23valor'!H$110</f>
        <v>0.0011129476062154572</v>
      </c>
      <c r="H19" s="38">
        <f>'[1]23valor'!I63/'[1]23valor'!I$110</f>
        <v>0.0012953329479940125</v>
      </c>
      <c r="I19" s="38">
        <f>'[1]23valor'!J63/'[1]23valor'!J$110</f>
        <v>0.0029989772637872706</v>
      </c>
      <c r="J19" s="38">
        <f>'[1]23valor'!K63/'[1]23valor'!K$110</f>
        <v>0.007935515227755185</v>
      </c>
      <c r="K19" s="38">
        <f>'[1]23valor'!L63/'[1]23valor'!L$110</f>
        <v>0.0033345076843273713</v>
      </c>
      <c r="L19" s="38">
        <f>'[1]23valor'!M63/'[1]23valor'!M$110</f>
        <v>0.0017615000790877585</v>
      </c>
      <c r="M19" s="38">
        <f>'[1]23valor'!N63/'[1]23valor'!N$110</f>
        <v>0.000823426308776041</v>
      </c>
      <c r="N19" s="38">
        <f>'[1]23valor'!O63/'[1]23valor'!O$110</f>
        <v>0.002259825685217648</v>
      </c>
      <c r="O19" s="38">
        <f>'[1]23valor'!P63/'[1]23valor'!P$110</f>
        <v>0.006920004661362601</v>
      </c>
      <c r="P19" s="38">
        <f>'[1]23valor'!Q63/'[1]23valor'!Q$110</f>
        <v>0.0438014590714543</v>
      </c>
      <c r="Q19" s="38">
        <f>'[1]23valor'!R63/'[1]23valor'!R$110</f>
        <v>0.00013499982312857397</v>
      </c>
      <c r="R19" s="38">
        <f>'[1]23valor'!S63/'[1]23valor'!S$110</f>
        <v>0.02105302779898346</v>
      </c>
      <c r="S19" s="38">
        <f>'[1]23valor'!T63/'[1]23valor'!T$110</f>
        <v>0.016132414756112004</v>
      </c>
      <c r="T19" s="38">
        <f>'[1]23valor'!U63/'[1]23valor'!U$110</f>
        <v>0.024058870100402262</v>
      </c>
      <c r="U19" s="38">
        <f>'[1]23valor'!W63/'[1]23valor'!W$110</f>
        <v>0.07138349884923006</v>
      </c>
      <c r="V19" s="38">
        <f>'[1]23valor'!X63/'[1]23valor'!X$110</f>
        <v>0.01956026956837984</v>
      </c>
      <c r="W19" s="38">
        <f>'[1]23valor'!Y63/'[1]23valor'!Y$110</f>
        <v>0.015391930400588562</v>
      </c>
      <c r="X19" s="38">
        <f>'[1]23valor'!Z63/'[1]23valor'!Z$110</f>
        <v>0.005390935138167997</v>
      </c>
      <c r="Y19" s="38">
        <f>'[1]23valor'!AA63/'[1]23valor'!AA$110</f>
        <v>0.023725642301021373</v>
      </c>
      <c r="Z19" s="39">
        <f>'[1]23valor'!AB63/'[1]23valor'!AB$110</f>
        <v>0.01336998598716653</v>
      </c>
    </row>
    <row r="20" spans="1:26" ht="15" customHeight="1">
      <c r="A20" s="76">
        <v>16</v>
      </c>
      <c r="B20" s="88" t="s">
        <v>114</v>
      </c>
      <c r="C20" s="38">
        <f>'[1]23valor'!D67/'[1]23valor'!D$110</f>
        <v>0.04043269972959379</v>
      </c>
      <c r="D20" s="38">
        <f>'[1]23valor'!E67/'[1]23valor'!E$110</f>
        <v>0.052014413617551644</v>
      </c>
      <c r="E20" s="38">
        <f>'[1]23valor'!F67/'[1]23valor'!F$110</f>
        <v>0.0360259328835475</v>
      </c>
      <c r="F20" s="38">
        <f>'[1]23valor'!G67/'[1]23valor'!G$110</f>
        <v>0.04700045615833942</v>
      </c>
      <c r="G20" s="38">
        <f>'[1]23valor'!H67/'[1]23valor'!H$110</f>
        <v>0.06054908572538137</v>
      </c>
      <c r="H20" s="38">
        <f>'[1]23valor'!I67/'[1]23valor'!I$110</f>
        <v>0.05603278348376387</v>
      </c>
      <c r="I20" s="38">
        <f>'[1]23valor'!J67/'[1]23valor'!J$110</f>
        <v>0.04441822043898985</v>
      </c>
      <c r="J20" s="38">
        <f>'[1]23valor'!K67/'[1]23valor'!K$110</f>
        <v>0.02508058809654847</v>
      </c>
      <c r="K20" s="38">
        <f>'[1]23valor'!L67/'[1]23valor'!L$110</f>
        <v>0.05330786348966365</v>
      </c>
      <c r="L20" s="38">
        <f>'[1]23valor'!M67/'[1]23valor'!M$110</f>
        <v>0.04024608275934793</v>
      </c>
      <c r="M20" s="38">
        <f>'[1]23valor'!N67/'[1]23valor'!N$110</f>
        <v>0.04633996170015471</v>
      </c>
      <c r="N20" s="38">
        <f>'[1]23valor'!O67/'[1]23valor'!O$110</f>
        <v>0.030495359524238604</v>
      </c>
      <c r="O20" s="38">
        <f>'[1]23valor'!P67/'[1]23valor'!P$110</f>
        <v>0.05426461707965633</v>
      </c>
      <c r="P20" s="38">
        <f>'[1]23valor'!Q67/'[1]23valor'!Q$110</f>
        <v>0.007224162625323517</v>
      </c>
      <c r="Q20" s="38">
        <f>'[1]23valor'!R67/'[1]23valor'!R$110</f>
        <v>0.047995685781053385</v>
      </c>
      <c r="R20" s="38">
        <f>'[1]23valor'!S67/'[1]23valor'!S$110</f>
        <v>0.06740015456295971</v>
      </c>
      <c r="S20" s="38">
        <f>'[1]23valor'!T67/'[1]23valor'!T$110</f>
        <v>0.08899986843973426</v>
      </c>
      <c r="T20" s="38">
        <f>'[1]23valor'!U67/'[1]23valor'!U$110</f>
        <v>0.02198478384546735</v>
      </c>
      <c r="U20" s="38">
        <f>'[1]23valor'!W67/'[1]23valor'!W$110</f>
        <v>0.017571493966405147</v>
      </c>
      <c r="V20" s="38">
        <f>'[1]23valor'!X67/'[1]23valor'!X$110</f>
        <v>0.0258760374745807</v>
      </c>
      <c r="W20" s="38">
        <f>'[1]23valor'!Y67/'[1]23valor'!Y$110</f>
        <v>0.026957563763585605</v>
      </c>
      <c r="X20" s="38">
        <f>'[1]23valor'!Z67/'[1]23valor'!Z$110</f>
        <v>0.03164030414372075</v>
      </c>
      <c r="Y20" s="38">
        <f>'[1]23valor'!AA67/'[1]23valor'!AA$110</f>
        <v>0.02567400049997555</v>
      </c>
      <c r="Z20" s="39">
        <f>'[1]23valor'!AB67/'[1]23valor'!AB$110</f>
        <v>0.043125076334611205</v>
      </c>
    </row>
    <row r="21" spans="1:26" ht="15" customHeight="1">
      <c r="A21" s="76">
        <v>17</v>
      </c>
      <c r="B21" s="37" t="s">
        <v>70</v>
      </c>
      <c r="C21" s="38">
        <f>'[1]23valor'!D71/'[1]23valor'!D$110</f>
        <v>0.006333132479121951</v>
      </c>
      <c r="D21" s="38">
        <f>'[1]23valor'!E71/'[1]23valor'!E$110</f>
        <v>0.03276359003610943</v>
      </c>
      <c r="E21" s="38">
        <f>'[1]23valor'!F71/'[1]23valor'!F$110</f>
        <v>0.04017581440778917</v>
      </c>
      <c r="F21" s="38">
        <f>'[1]23valor'!G71/'[1]23valor'!G$110</f>
        <v>0.032298432510768166</v>
      </c>
      <c r="G21" s="38">
        <f>'[1]23valor'!H71/'[1]23valor'!H$110</f>
        <v>0.03136144275897344</v>
      </c>
      <c r="H21" s="38">
        <f>'[1]23valor'!I71/'[1]23valor'!I$110</f>
        <v>0.05416833400026677</v>
      </c>
      <c r="I21" s="38">
        <f>'[1]23valor'!J71/'[1]23valor'!J$110</f>
        <v>0.04794272677208717</v>
      </c>
      <c r="J21" s="38">
        <f>'[1]23valor'!K71/'[1]23valor'!K$110</f>
        <v>0.06817467067879837</v>
      </c>
      <c r="K21" s="38">
        <f>'[1]23valor'!L71/'[1]23valor'!L$110</f>
        <v>0.07217655629537702</v>
      </c>
      <c r="L21" s="38">
        <f>'[1]23valor'!M71/'[1]23valor'!M$110</f>
        <v>0.02900603463564509</v>
      </c>
      <c r="M21" s="38">
        <f>'[1]23valor'!N71/'[1]23valor'!N$110</f>
        <v>0.026124268810335666</v>
      </c>
      <c r="N21" s="38">
        <f>'[1]23valor'!O71/'[1]23valor'!O$110</f>
        <v>0.017760673503825423</v>
      </c>
      <c r="O21" s="38">
        <f>'[1]23valor'!P71/'[1]23valor'!P$110</f>
        <v>0.03323339654423527</v>
      </c>
      <c r="P21" s="38">
        <f>'[1]23valor'!Q71/'[1]23valor'!Q$110</f>
        <v>0.004506202310056872</v>
      </c>
      <c r="Q21" s="38">
        <f>'[1]23valor'!R71/'[1]23valor'!R$110</f>
        <v>0.043904541408488526</v>
      </c>
      <c r="R21" s="38">
        <f>'[1]23valor'!S71/'[1]23valor'!S$110</f>
        <v>0.06269974674729663</v>
      </c>
      <c r="S21" s="38">
        <f>'[1]23valor'!T71/'[1]23valor'!T$110</f>
        <v>0.1627999671750623</v>
      </c>
      <c r="T21" s="38">
        <f>'[1]23valor'!U71/'[1]23valor'!U$110</f>
        <v>0.03536290541821887</v>
      </c>
      <c r="U21" s="38">
        <f>'[1]23valor'!W71/'[1]23valor'!W$110</f>
        <v>0.01255674376613303</v>
      </c>
      <c r="V21" s="38">
        <f>'[1]23valor'!X71/'[1]23valor'!X$110</f>
        <v>0.024066166163260638</v>
      </c>
      <c r="W21" s="38">
        <f>'[1]23valor'!Y71/'[1]23valor'!Y$110</f>
        <v>0.038706319654830096</v>
      </c>
      <c r="X21" s="38">
        <f>'[1]23valor'!Z71/'[1]23valor'!Z$110</f>
        <v>0.008987823346178944</v>
      </c>
      <c r="Y21" s="38">
        <f>'[1]23valor'!AA71/'[1]23valor'!AA$110</f>
        <v>0.03502921248701744</v>
      </c>
      <c r="Z21" s="39">
        <f>'[1]23valor'!AB71/'[1]23valor'!AB$110</f>
        <v>0.0411897046874926</v>
      </c>
    </row>
    <row r="22" spans="1:26" ht="15" customHeight="1">
      <c r="A22" s="76">
        <v>18</v>
      </c>
      <c r="B22" s="37" t="s">
        <v>40</v>
      </c>
      <c r="C22" s="38">
        <f>'[1]23valor'!D75/'[1]23valor'!D$110</f>
        <v>0.005670811567210632</v>
      </c>
      <c r="D22" s="38">
        <f>'[1]23valor'!E75/'[1]23valor'!E$110</f>
        <v>0.0026510401877589793</v>
      </c>
      <c r="E22" s="38">
        <f>'[1]23valor'!F75/'[1]23valor'!F$110</f>
        <v>0.00494833319982739</v>
      </c>
      <c r="F22" s="38">
        <f>'[1]23valor'!G75/'[1]23valor'!G$110</f>
        <v>0.002260607699791298</v>
      </c>
      <c r="G22" s="38">
        <f>'[1]23valor'!H75/'[1]23valor'!H$110</f>
        <v>0.00311625329740328</v>
      </c>
      <c r="H22" s="38">
        <f>'[1]23valor'!I75/'[1]23valor'!I$110</f>
        <v>0.002500259363004461</v>
      </c>
      <c r="I22" s="38">
        <f>'[1]23valor'!J75/'[1]23valor'!J$110</f>
        <v>0.0026292187868775076</v>
      </c>
      <c r="J22" s="38">
        <f>'[1]23valor'!K75/'[1]23valor'!K$110</f>
        <v>0.004560106926645177</v>
      </c>
      <c r="K22" s="38">
        <f>'[1]23valor'!L75/'[1]23valor'!L$110</f>
        <v>0.003490300982028889</v>
      </c>
      <c r="L22" s="38">
        <f>'[1]23valor'!M75/'[1]23valor'!M$110</f>
        <v>0.005025667572580992</v>
      </c>
      <c r="M22" s="38">
        <f>'[1]23valor'!N75/'[1]23valor'!N$110</f>
        <v>0.0030771570137525096</v>
      </c>
      <c r="N22" s="38">
        <f>'[1]23valor'!O75/'[1]23valor'!O$110</f>
        <v>0.0010270073231868151</v>
      </c>
      <c r="O22" s="38">
        <f>'[1]23valor'!P75/'[1]23valor'!P$110</f>
        <v>0.005133855264691238</v>
      </c>
      <c r="P22" s="38">
        <f>'[1]23valor'!Q75/'[1]23valor'!Q$110</f>
        <v>0.004481074787881833</v>
      </c>
      <c r="Q22" s="38">
        <f>'[1]23valor'!R75/'[1]23valor'!R$110</f>
        <v>0.003991518834641099</v>
      </c>
      <c r="R22" s="38">
        <f>'[1]23valor'!S75/'[1]23valor'!S$110</f>
        <v>0.005736708938185403</v>
      </c>
      <c r="S22" s="38">
        <f>'[1]23valor'!T75/'[1]23valor'!T$110</f>
        <v>0.007023494579326275</v>
      </c>
      <c r="T22" s="38">
        <f>'[1]23valor'!U75/'[1]23valor'!U$110</f>
        <v>0.04957119194978704</v>
      </c>
      <c r="U22" s="38">
        <f>'[1]23valor'!W75/'[1]23valor'!W$110</f>
        <v>0.004493406914792161</v>
      </c>
      <c r="V22" s="38">
        <f>'[1]23valor'!X75/'[1]23valor'!X$110</f>
        <v>0.0020454960669447496</v>
      </c>
      <c r="W22" s="38">
        <f>'[1]23valor'!Y75/'[1]23valor'!Y$110</f>
        <v>0.000973440808052251</v>
      </c>
      <c r="X22" s="38">
        <f>'[1]23valor'!Z75/'[1]23valor'!Z$110</f>
        <v>0.0005909801652282046</v>
      </c>
      <c r="Y22" s="38">
        <f>'[1]23valor'!AA75/'[1]23valor'!AA$110</f>
        <v>0.00678317298895158</v>
      </c>
      <c r="Z22" s="39">
        <f>'[1]23valor'!AB75/'[1]23valor'!AB$110</f>
        <v>0.03855944820997172</v>
      </c>
    </row>
    <row r="23" spans="1:26" ht="15" customHeight="1">
      <c r="A23" s="76">
        <v>19</v>
      </c>
      <c r="B23" s="37" t="s">
        <v>71</v>
      </c>
      <c r="C23" s="38">
        <f>'[1]23valor'!D79/'[1]23valor'!D$110</f>
        <v>0.00024276800342614124</v>
      </c>
      <c r="D23" s="38">
        <f>'[1]23valor'!E79/'[1]23valor'!E$110</f>
        <v>0.024771520541163997</v>
      </c>
      <c r="E23" s="38">
        <f>'[1]23valor'!F79/'[1]23valor'!F$110</f>
        <v>0.05735673735591047</v>
      </c>
      <c r="F23" s="38">
        <f>'[1]23valor'!G79/'[1]23valor'!G$110</f>
        <v>0.06310324921988851</v>
      </c>
      <c r="G23" s="38">
        <f>'[1]23valor'!H79/'[1]23valor'!H$110</f>
        <v>0.05868312250474779</v>
      </c>
      <c r="H23" s="38">
        <f>'[1]23valor'!I79/'[1]23valor'!I$110</f>
        <v>0.04704103863767729</v>
      </c>
      <c r="I23" s="38">
        <f>'[1]23valor'!J79/'[1]23valor'!J$110</f>
        <v>0.03460309967744473</v>
      </c>
      <c r="J23" s="38">
        <f>'[1]23valor'!K79/'[1]23valor'!K$110</f>
        <v>0.03559099128719382</v>
      </c>
      <c r="K23" s="38">
        <f>'[1]23valor'!L79/'[1]23valor'!L$110</f>
        <v>0.020400070106983966</v>
      </c>
      <c r="L23" s="38">
        <f>'[1]23valor'!M79/'[1]23valor'!M$110</f>
        <v>0.03173815720729141</v>
      </c>
      <c r="M23" s="38">
        <f>'[1]23valor'!N79/'[1]23valor'!N$110</f>
        <v>0.03014432701360996</v>
      </c>
      <c r="N23" s="38">
        <f>'[1]23valor'!O79/'[1]23valor'!O$110</f>
        <v>0.009608098920362393</v>
      </c>
      <c r="O23" s="38">
        <f>'[1]23valor'!P79/'[1]23valor'!P$110</f>
        <v>0.03636286589047917</v>
      </c>
      <c r="P23" s="38">
        <f>'[1]23valor'!Q79/'[1]23valor'!Q$110</f>
        <v>0.03259877210174971</v>
      </c>
      <c r="Q23" s="38">
        <f>'[1]23valor'!R79/'[1]23valor'!R$110</f>
        <v>0.023348472083552615</v>
      </c>
      <c r="R23" s="38">
        <f>'[1]23valor'!S79/'[1]23valor'!S$110</f>
        <v>0.09829980744325341</v>
      </c>
      <c r="S23" s="38">
        <f>'[1]23valor'!T79/'[1]23valor'!T$110</f>
        <v>0.037847674053580166</v>
      </c>
      <c r="T23" s="38">
        <f>'[1]23valor'!U79/'[1]23valor'!U$110</f>
        <v>0.10017810088493481</v>
      </c>
      <c r="U23" s="38">
        <f>'[1]23valor'!W79/'[1]23valor'!W$110</f>
        <v>0.0387455018247015</v>
      </c>
      <c r="V23" s="38">
        <f>'[1]23valor'!X79/'[1]23valor'!X$110</f>
        <v>0.15072130201459166</v>
      </c>
      <c r="W23" s="38">
        <f>'[1]23valor'!Y79/'[1]23valor'!Y$110</f>
        <v>0.03697468732631471</v>
      </c>
      <c r="X23" s="38">
        <f>'[1]23valor'!Z79/'[1]23valor'!Z$110</f>
        <v>0.02857635340613881</v>
      </c>
      <c r="Y23" s="38">
        <f>'[1]23valor'!AA79/'[1]23valor'!AA$110</f>
        <v>0.13012249400158257</v>
      </c>
      <c r="Z23" s="39">
        <f>'[1]23valor'!AB79/'[1]23valor'!AB$110</f>
        <v>0.044448360101148866</v>
      </c>
    </row>
    <row r="24" spans="1:26" ht="15" customHeight="1">
      <c r="A24" s="76">
        <v>20</v>
      </c>
      <c r="B24" s="37" t="s">
        <v>43</v>
      </c>
      <c r="C24" s="38">
        <f>'[1]23valor'!D83/'[1]23valor'!D$110</f>
        <v>0</v>
      </c>
      <c r="D24" s="38">
        <f>'[1]23valor'!E83/'[1]23valor'!E$110</f>
        <v>0</v>
      </c>
      <c r="E24" s="38">
        <f>'[1]23valor'!F83/'[1]23valor'!F$110</f>
        <v>0</v>
      </c>
      <c r="F24" s="38">
        <f>'[1]23valor'!G83/'[1]23valor'!G$110</f>
        <v>0</v>
      </c>
      <c r="G24" s="38">
        <f>'[1]23valor'!H83/'[1]23valor'!H$110</f>
        <v>0</v>
      </c>
      <c r="H24" s="38">
        <f>'[1]23valor'!I83/'[1]23valor'!I$110</f>
        <v>0</v>
      </c>
      <c r="I24" s="38">
        <f>'[1]23valor'!J83/'[1]23valor'!J$110</f>
        <v>0</v>
      </c>
      <c r="J24" s="38">
        <f>'[1]23valor'!K83/'[1]23valor'!K$110</f>
        <v>0</v>
      </c>
      <c r="K24" s="38">
        <f>'[1]23valor'!L83/'[1]23valor'!L$110</f>
        <v>0</v>
      </c>
      <c r="L24" s="38">
        <f>'[1]23valor'!M83/'[1]23valor'!M$110</f>
        <v>0</v>
      </c>
      <c r="M24" s="38">
        <f>'[1]23valor'!N83/'[1]23valor'!N$110</f>
        <v>0</v>
      </c>
      <c r="N24" s="38">
        <f>'[1]23valor'!O83/'[1]23valor'!O$110</f>
        <v>0</v>
      </c>
      <c r="O24" s="38">
        <f>'[1]23valor'!P83/'[1]23valor'!P$110</f>
        <v>0</v>
      </c>
      <c r="P24" s="38">
        <f>'[1]23valor'!Q83/'[1]23valor'!Q$110</f>
        <v>0</v>
      </c>
      <c r="Q24" s="38">
        <f>'[1]23valor'!R83/'[1]23valor'!R$110</f>
        <v>0</v>
      </c>
      <c r="R24" s="38">
        <f>'[1]23valor'!S83/'[1]23valor'!S$110</f>
        <v>0</v>
      </c>
      <c r="S24" s="38">
        <f>'[1]23valor'!T83/'[1]23valor'!T$110</f>
        <v>0</v>
      </c>
      <c r="T24" s="38">
        <f>'[1]23valor'!U83/'[1]23valor'!U$110</f>
        <v>0</v>
      </c>
      <c r="U24" s="38">
        <f>'[1]23valor'!W83/'[1]23valor'!W$110</f>
        <v>0</v>
      </c>
      <c r="V24" s="38">
        <f>'[1]23valor'!X83/'[1]23valor'!X$110</f>
        <v>0</v>
      </c>
      <c r="W24" s="38">
        <f>'[1]23valor'!Y83/'[1]23valor'!Y$110</f>
        <v>0</v>
      </c>
      <c r="X24" s="38">
        <f>'[1]23valor'!Z83/'[1]23valor'!Z$110</f>
        <v>0</v>
      </c>
      <c r="Y24" s="38">
        <f>'[1]23valor'!AA83/'[1]23valor'!AA$110</f>
        <v>0</v>
      </c>
      <c r="Z24" s="39">
        <f>'[1]23valor'!AB83/'[1]23valor'!AB$110</f>
        <v>0</v>
      </c>
    </row>
    <row r="25" spans="1:26" ht="15" customHeight="1">
      <c r="A25" s="76">
        <v>21</v>
      </c>
      <c r="B25" s="37" t="s">
        <v>44</v>
      </c>
      <c r="C25" s="38">
        <f>'[1]23valor'!D87/'[1]23valor'!D$110</f>
        <v>0</v>
      </c>
      <c r="D25" s="38">
        <f>'[1]23valor'!E87/'[1]23valor'!E$110</f>
        <v>0</v>
      </c>
      <c r="E25" s="38">
        <f>'[1]23valor'!F87/'[1]23valor'!F$110</f>
        <v>0</v>
      </c>
      <c r="F25" s="38">
        <f>'[1]23valor'!G87/'[1]23valor'!G$110</f>
        <v>0</v>
      </c>
      <c r="G25" s="38">
        <f>'[1]23valor'!H87/'[1]23valor'!H$110</f>
        <v>0</v>
      </c>
      <c r="H25" s="38">
        <f>'[1]23valor'!I87/'[1]23valor'!I$110</f>
        <v>0</v>
      </c>
      <c r="I25" s="38">
        <f>'[1]23valor'!J87/'[1]23valor'!J$110</f>
        <v>0</v>
      </c>
      <c r="J25" s="38">
        <f>'[1]23valor'!K87/'[1]23valor'!K$110</f>
        <v>0</v>
      </c>
      <c r="K25" s="38">
        <f>'[1]23valor'!L87/'[1]23valor'!L$110</f>
        <v>0</v>
      </c>
      <c r="L25" s="38">
        <f>'[1]23valor'!M87/'[1]23valor'!M$110</f>
        <v>0</v>
      </c>
      <c r="M25" s="38">
        <f>'[1]23valor'!N87/'[1]23valor'!N$110</f>
        <v>1.6292029192600976E-05</v>
      </c>
      <c r="N25" s="38">
        <f>'[1]23valor'!O87/'[1]23valor'!O$110</f>
        <v>0</v>
      </c>
      <c r="O25" s="38">
        <f>'[1]23valor'!P87/'[1]23valor'!P$110</f>
        <v>0</v>
      </c>
      <c r="P25" s="38">
        <f>'[1]23valor'!Q87/'[1]23valor'!Q$110</f>
        <v>0</v>
      </c>
      <c r="Q25" s="38">
        <f>'[1]23valor'!R87/'[1]23valor'!R$110</f>
        <v>0</v>
      </c>
      <c r="R25" s="38">
        <f>'[1]23valor'!S87/'[1]23valor'!S$110</f>
        <v>0</v>
      </c>
      <c r="S25" s="38">
        <f>'[1]23valor'!T87/'[1]23valor'!T$110</f>
        <v>0</v>
      </c>
      <c r="T25" s="38">
        <f>'[1]23valor'!U87/'[1]23valor'!U$110</f>
        <v>0</v>
      </c>
      <c r="U25" s="38">
        <f>'[1]23valor'!W87/'[1]23valor'!W$110</f>
        <v>0</v>
      </c>
      <c r="V25" s="38">
        <f>'[1]23valor'!X87/'[1]23valor'!X$110</f>
        <v>0</v>
      </c>
      <c r="W25" s="38">
        <f>'[1]23valor'!Y87/'[1]23valor'!Y$110</f>
        <v>0.0007999563076072953</v>
      </c>
      <c r="X25" s="38">
        <f>'[1]23valor'!Z87/'[1]23valor'!Z$110</f>
        <v>0</v>
      </c>
      <c r="Y25" s="38">
        <f>'[1]23valor'!AA87/'[1]23valor'!AA$110</f>
        <v>0</v>
      </c>
      <c r="Z25" s="39">
        <f>'[1]23valor'!AB87/'[1]23valor'!AB$110</f>
        <v>1.5408021336892494E-05</v>
      </c>
    </row>
    <row r="26" spans="1:26" ht="15" customHeight="1">
      <c r="A26" s="76">
        <v>22</v>
      </c>
      <c r="B26" s="37" t="s">
        <v>45</v>
      </c>
      <c r="C26" s="38">
        <f>'[1]23valor'!D91/'[1]23valor'!D$110</f>
        <v>0.0023641868641345754</v>
      </c>
      <c r="D26" s="38">
        <f>'[1]23valor'!E91/'[1]23valor'!E$110</f>
        <v>0.0002022831612460643</v>
      </c>
      <c r="E26" s="38">
        <f>'[1]23valor'!F91/'[1]23valor'!F$110</f>
        <v>0</v>
      </c>
      <c r="F26" s="38">
        <f>'[1]23valor'!G91/'[1]23valor'!G$110</f>
        <v>0</v>
      </c>
      <c r="G26" s="38">
        <f>'[1]23valor'!H91/'[1]23valor'!H$110</f>
        <v>0</v>
      </c>
      <c r="H26" s="38">
        <f>'[1]23valor'!I91/'[1]23valor'!I$110</f>
        <v>0</v>
      </c>
      <c r="I26" s="38">
        <f>'[1]23valor'!J91/'[1]23valor'!J$110</f>
        <v>0</v>
      </c>
      <c r="J26" s="38">
        <f>'[1]23valor'!K91/'[1]23valor'!K$110</f>
        <v>0</v>
      </c>
      <c r="K26" s="38">
        <f>'[1]23valor'!L91/'[1]23valor'!L$110</f>
        <v>0</v>
      </c>
      <c r="L26" s="38">
        <f>'[1]23valor'!M91/'[1]23valor'!M$110</f>
        <v>0</v>
      </c>
      <c r="M26" s="38">
        <f>'[1]23valor'!N91/'[1]23valor'!N$110</f>
        <v>1.6292029192600976E-05</v>
      </c>
      <c r="N26" s="38">
        <f>'[1]23valor'!O91/'[1]23valor'!O$110</f>
        <v>0</v>
      </c>
      <c r="O26" s="38">
        <f>'[1]23valor'!P91/'[1]23valor'!P$110</f>
        <v>0</v>
      </c>
      <c r="P26" s="38">
        <f>'[1]23valor'!Q91/'[1]23valor'!Q$110</f>
        <v>0</v>
      </c>
      <c r="Q26" s="38">
        <f>'[1]23valor'!R91/'[1]23valor'!R$110</f>
        <v>0</v>
      </c>
      <c r="R26" s="38">
        <f>'[1]23valor'!S91/'[1]23valor'!S$110</f>
        <v>0</v>
      </c>
      <c r="S26" s="38">
        <f>'[1]23valor'!T91/'[1]23valor'!T$110</f>
        <v>0</v>
      </c>
      <c r="T26" s="38">
        <f>'[1]23valor'!U91/'[1]23valor'!U$110</f>
        <v>0.010223229500826868</v>
      </c>
      <c r="U26" s="38">
        <f>'[1]23valor'!W91/'[1]23valor'!W$110</f>
        <v>0</v>
      </c>
      <c r="V26" s="38">
        <f>'[1]23valor'!X91/'[1]23valor'!X$110</f>
        <v>0</v>
      </c>
      <c r="W26" s="38">
        <f>'[1]23valor'!Y91/'[1]23valor'!Y$110</f>
        <v>0.0027371998959093</v>
      </c>
      <c r="X26" s="38">
        <f>'[1]23valor'!Z91/'[1]23valor'!Z$110</f>
        <v>0.051617544371881305</v>
      </c>
      <c r="Y26" s="38">
        <f>'[1]23valor'!AA91/'[1]23valor'!AA$110</f>
        <v>4.381228754262039E-05</v>
      </c>
      <c r="Z26" s="39">
        <f>'[1]23valor'!AB91/'[1]23valor'!AB$110</f>
        <v>0.002258093500614402</v>
      </c>
    </row>
    <row r="27" spans="1:26" ht="15" customHeight="1">
      <c r="A27" s="76">
        <v>23</v>
      </c>
      <c r="B27" s="37" t="s">
        <v>72</v>
      </c>
      <c r="C27" s="38">
        <f>'[1]23valor'!D95/'[1]23valor'!D$110</f>
        <v>0.00012449641201340577</v>
      </c>
      <c r="D27" s="38">
        <f>'[1]23valor'!E95/'[1]23valor'!E$110</f>
        <v>9.548770344534711E-05</v>
      </c>
      <c r="E27" s="38">
        <f>'[1]23valor'!F95/'[1]23valor'!F$110</f>
        <v>2.067188804105437E-05</v>
      </c>
      <c r="F27" s="38">
        <f>'[1]23valor'!G95/'[1]23valor'!G$110</f>
        <v>0.000129177582845217</v>
      </c>
      <c r="G27" s="38">
        <f>'[1]23valor'!H95/'[1]23valor'!H$110</f>
        <v>0</v>
      </c>
      <c r="H27" s="38">
        <f>'[1]23valor'!I95/'[1]23valor'!I$110</f>
        <v>0.0006506306226194181</v>
      </c>
      <c r="I27" s="38">
        <f>'[1]23valor'!J95/'[1]23valor'!J$110</f>
        <v>0</v>
      </c>
      <c r="J27" s="38">
        <f>'[1]23valor'!K95/'[1]23valor'!K$110</f>
        <v>0</v>
      </c>
      <c r="K27" s="38">
        <f>'[1]23valor'!L95/'[1]23valor'!L$110</f>
        <v>0</v>
      </c>
      <c r="L27" s="38">
        <f>'[1]23valor'!M95/'[1]23valor'!M$110</f>
        <v>0</v>
      </c>
      <c r="M27" s="38">
        <f>'[1]23valor'!N95/'[1]23valor'!N$110</f>
        <v>4.4124245729960976E-05</v>
      </c>
      <c r="N27" s="38">
        <f>'[1]23valor'!O95/'[1]23valor'!O$110</f>
        <v>2.4574452399285702E-05</v>
      </c>
      <c r="O27" s="38">
        <f>'[1]23valor'!P95/'[1]23valor'!P$110</f>
        <v>0</v>
      </c>
      <c r="P27" s="38">
        <f>'[1]23valor'!Q95/'[1]23valor'!Q$110</f>
        <v>0</v>
      </c>
      <c r="Q27" s="38">
        <f>'[1]23valor'!R95/'[1]23valor'!R$110</f>
        <v>0.001104544007415605</v>
      </c>
      <c r="R27" s="38">
        <f>'[1]23valor'!S95/'[1]23valor'!S$110</f>
        <v>0.001489168241899266</v>
      </c>
      <c r="S27" s="38">
        <f>'[1]23valor'!T95/'[1]23valor'!T$110</f>
        <v>0.0004741379871800378</v>
      </c>
      <c r="T27" s="38">
        <f>'[1]23valor'!U95/'[1]23valor'!U$110</f>
        <v>0.0004933248637057459</v>
      </c>
      <c r="U27" s="38">
        <f>'[1]23valor'!W95/'[1]23valor'!W$110</f>
        <v>0.011277227470976437</v>
      </c>
      <c r="V27" s="38">
        <f>'[1]23valor'!X95/'[1]23valor'!X$110</f>
        <v>0.03862880051632556</v>
      </c>
      <c r="W27" s="38">
        <f>'[1]23valor'!Y95/'[1]23valor'!Y$110</f>
        <v>0.0008545717984881148</v>
      </c>
      <c r="X27" s="38">
        <f>'[1]23valor'!Z95/'[1]23valor'!Z$110</f>
        <v>0.007536755976198978</v>
      </c>
      <c r="Y27" s="38">
        <f>'[1]23valor'!AA95/'[1]23valor'!AA$110</f>
        <v>0.11057705937080416</v>
      </c>
      <c r="Z27" s="39">
        <f>'[1]23valor'!AB95/'[1]23valor'!AB$110</f>
        <v>0.005070367812609564</v>
      </c>
    </row>
    <row r="28" spans="1:26" ht="15" customHeight="1">
      <c r="A28" s="76"/>
      <c r="B28" s="37" t="s">
        <v>73</v>
      </c>
      <c r="C28" s="40">
        <f>'[1]23valor'!D100/'[1]23valor'!D$110</f>
        <v>0.5580265326753282</v>
      </c>
      <c r="D28" s="40">
        <f>SUM(D5:D27)</f>
        <v>0.7325527632382393</v>
      </c>
      <c r="E28" s="40">
        <f>'[1]23valor'!F100/'[1]23valor'!F$110</f>
        <v>0.7173842826467252</v>
      </c>
      <c r="F28" s="40">
        <f>'[1]23valor'!G100/'[1]23valor'!G$110</f>
        <v>0.6931103943549396</v>
      </c>
      <c r="G28" s="40">
        <f>'[1]23valor'!H100/'[1]23valor'!H$110</f>
        <v>0.6555356119554253</v>
      </c>
      <c r="H28" s="40">
        <f>'[1]23valor'!I100/'[1]23valor'!I$110</f>
        <v>0.6699983697182578</v>
      </c>
      <c r="I28" s="40">
        <f>'[1]23valor'!J100/'[1]23valor'!J$110</f>
        <v>0.6251860593187003</v>
      </c>
      <c r="J28" s="40">
        <f>'[1]23valor'!K100/'[1]23valor'!K$110</f>
        <v>0.4855691914029834</v>
      </c>
      <c r="K28" s="40">
        <f>'[1]23valor'!L100/'[1]23valor'!L$110</f>
        <v>0.8090611506397263</v>
      </c>
      <c r="L28" s="40">
        <f>'[1]23valor'!M100/'[1]23valor'!M$110</f>
        <v>0.5538803330313619</v>
      </c>
      <c r="M28" s="40">
        <f>'[1]23valor'!N100/'[1]23valor'!N$110</f>
        <v>0.6529023910589344</v>
      </c>
      <c r="N28" s="40">
        <f>'[1]23valor'!O100/'[1]23valor'!O$110</f>
        <v>0.7571260792280345</v>
      </c>
      <c r="O28" s="40">
        <f>'[1]23valor'!P100/'[1]23valor'!P$110</f>
        <v>0.6687127223416991</v>
      </c>
      <c r="P28" s="40">
        <f>'[1]23valor'!Q100/'[1]23valor'!Q$110</f>
        <v>0.14193699692606646</v>
      </c>
      <c r="Q28" s="40">
        <f>'[1]23valor'!R100/'[1]23valor'!R$110</f>
        <v>0.5402238109367183</v>
      </c>
      <c r="R28" s="40">
        <f>'[1]23valor'!S100/'[1]23valor'!S$110</f>
        <v>0.4192090940422684</v>
      </c>
      <c r="S28" s="40">
        <f>'[1]23valor'!T100/'[1]23valor'!T$110</f>
        <v>0.433166733749376</v>
      </c>
      <c r="T28" s="40">
        <f>'[1]23valor'!U100/'[1]23valor'!U$110</f>
        <v>0.2678210291658438</v>
      </c>
      <c r="U28" s="40">
        <f>'[1]23valor'!W100/'[1]23valor'!W$110</f>
        <v>0.214380968426942</v>
      </c>
      <c r="V28" s="40">
        <f>'[1]23valor'!X100/'[1]23valor'!X$110</f>
        <v>0.31912982753292346</v>
      </c>
      <c r="W28" s="40">
        <f>'[1]23valor'!Y100/'[1]23valor'!Y$110</f>
        <v>0.1733045905926423</v>
      </c>
      <c r="X28" s="40">
        <f>'[1]23valor'!Z100/'[1]23valor'!Z$110</f>
        <v>0.2691474935229629</v>
      </c>
      <c r="Y28" s="40">
        <f>'[1]23valor'!AA100/'[1]23valor'!AA$110</f>
        <v>0.42478074527278353</v>
      </c>
      <c r="Z28" s="41">
        <f>'[1]23valor'!AB100/'[1]23valor'!AB$110</f>
        <v>0.5690641133976189</v>
      </c>
    </row>
    <row r="29" spans="1:26" ht="15" customHeight="1">
      <c r="A29" s="76"/>
      <c r="B29" s="37" t="s">
        <v>74</v>
      </c>
      <c r="C29" s="38">
        <f>'[1]23valor'!D101/'[1]23valor'!D$110</f>
        <v>0.02881240355395396</v>
      </c>
      <c r="D29" s="38">
        <f>'[1]23valor'!E101/'[1]23valor'!E$110</f>
        <v>0.10673132607861115</v>
      </c>
      <c r="E29" s="38">
        <f>'[1]23valor'!F101/'[1]23valor'!F$110</f>
        <v>0.09621928768932457</v>
      </c>
      <c r="F29" s="38">
        <f>'[1]23valor'!G101/'[1]23valor'!G$110</f>
        <v>0.10674499204627524</v>
      </c>
      <c r="G29" s="38">
        <f>'[1]23valor'!H101/'[1]23valor'!H$110</f>
        <v>0.1551735692088927</v>
      </c>
      <c r="H29" s="38">
        <f>'[1]23valor'!I101/'[1]23valor'!I$110</f>
        <v>0.16990103708517482</v>
      </c>
      <c r="I29" s="38">
        <f>'[1]23valor'!J101/'[1]23valor'!J$110</f>
        <v>0.13738276050190926</v>
      </c>
      <c r="J29" s="38">
        <f>'[1]23valor'!K101/'[1]23valor'!K$110</f>
        <v>0.1577430783980509</v>
      </c>
      <c r="K29" s="38">
        <f>'[1]23valor'!L101/'[1]23valor'!L$110</f>
        <v>0.09047580024228956</v>
      </c>
      <c r="L29" s="38">
        <f>'[1]23valor'!M101/'[1]23valor'!M$110</f>
        <v>0.19521680243767306</v>
      </c>
      <c r="M29" s="38">
        <f>'[1]23valor'!N101/'[1]23valor'!N$110</f>
        <v>0.12834235377356698</v>
      </c>
      <c r="N29" s="38">
        <f>'[1]23valor'!O101/'[1]23valor'!O$110</f>
        <v>0.13438321603633333</v>
      </c>
      <c r="O29" s="38">
        <f>'[1]23valor'!P101/'[1]23valor'!P$110</f>
        <v>0.11851761139195216</v>
      </c>
      <c r="P29" s="38">
        <f>'[1]23valor'!Q101/'[1]23valor'!Q$110</f>
        <v>0.09246213386402466</v>
      </c>
      <c r="Q29" s="38">
        <f>'[1]23valor'!R101/'[1]23valor'!R$110</f>
        <v>0.1639074181089564</v>
      </c>
      <c r="R29" s="38">
        <f>'[1]23valor'!S101/'[1]23valor'!S$110</f>
        <v>0.16883467610541059</v>
      </c>
      <c r="S29" s="38">
        <f>'[1]23valor'!T101/'[1]23valor'!T$110</f>
        <v>0.16848749899704038</v>
      </c>
      <c r="T29" s="38">
        <f>'[1]23valor'!U101/'[1]23valor'!U$110</f>
        <v>0.20243846823207923</v>
      </c>
      <c r="U29" s="38">
        <f>'[1]23valor'!W101/'[1]23valor'!W$110</f>
        <v>0.09976599434546622</v>
      </c>
      <c r="V29" s="38">
        <f>'[1]23valor'!X101/'[1]23valor'!X$110</f>
        <v>0.49951898999924366</v>
      </c>
      <c r="W29" s="38">
        <f>'[1]23valor'!Y101/'[1]23valor'!Y$110</f>
        <v>0.6584711724368436</v>
      </c>
      <c r="X29" s="38">
        <f>'[1]23valor'!Z101/'[1]23valor'!Z$110</f>
        <v>0.5685079783268842</v>
      </c>
      <c r="Y29" s="38">
        <f>'[1]23valor'!AA101/'[1]23valor'!AA$110</f>
        <v>0.3521649322816319</v>
      </c>
      <c r="Z29" s="39">
        <f>'[1]23valor'!AB101/'[1]23valor'!AB$110</f>
        <v>0.17423060598443998</v>
      </c>
    </row>
    <row r="30" spans="1:26" ht="15" customHeight="1">
      <c r="A30" s="76"/>
      <c r="B30" s="37" t="s">
        <v>75</v>
      </c>
      <c r="C30" s="38">
        <f>'[1]23valor'!D102/'[1]23valor'!D$110</f>
        <v>0.0047902103027972825</v>
      </c>
      <c r="D30" s="38">
        <f>'[1]23valor'!E102/'[1]23valor'!E$110</f>
        <v>0.031396594239130236</v>
      </c>
      <c r="E30" s="38">
        <f>'[1]23valor'!F102/'[1]23valor'!F$110</f>
        <v>0.027290999095181727</v>
      </c>
      <c r="F30" s="38">
        <f>'[1]23valor'!G102/'[1]23valor'!G$110</f>
        <v>0.02704416393694608</v>
      </c>
      <c r="G30" s="38">
        <f>'[1]23valor'!H102/'[1]23valor'!H$110</f>
        <v>0.05749364809932229</v>
      </c>
      <c r="H30" s="38">
        <f>'[1]23valor'!I102/'[1]23valor'!I$110</f>
        <v>0.04455556765109288</v>
      </c>
      <c r="I30" s="38">
        <f>'[1]23valor'!J102/'[1]23valor'!J$110</f>
        <v>0.033237488410057595</v>
      </c>
      <c r="J30" s="38">
        <f>'[1]23valor'!K102/'[1]23valor'!K$110</f>
        <v>0.046538794907030334</v>
      </c>
      <c r="K30" s="38">
        <f>'[1]23valor'!L102/'[1]23valor'!L$110</f>
        <v>0.030275678553733993</v>
      </c>
      <c r="L30" s="38">
        <f>'[1]23valor'!M102/'[1]23valor'!M$110</f>
        <v>0.05664689484198266</v>
      </c>
      <c r="M30" s="38">
        <f>'[1]23valor'!N102/'[1]23valor'!N$110</f>
        <v>0.035935908315078695</v>
      </c>
      <c r="N30" s="38">
        <f>'[1]23valor'!O102/'[1]23valor'!O$110</f>
        <v>0.045221404987984735</v>
      </c>
      <c r="O30" s="38">
        <f>'[1]23valor'!P102/'[1]23valor'!P$110</f>
        <v>0.036431859256112635</v>
      </c>
      <c r="P30" s="38">
        <f>'[1]23valor'!Q102/'[1]23valor'!Q$110</f>
        <v>0.028994842766694066</v>
      </c>
      <c r="Q30" s="38">
        <f>'[1]23valor'!R102/'[1]23valor'!R$110</f>
        <v>0.05991623486138304</v>
      </c>
      <c r="R30" s="38">
        <f>'[1]23valor'!S102/'[1]23valor'!S$110</f>
        <v>0.07074992653427914</v>
      </c>
      <c r="S30" s="38">
        <f>'[1]23valor'!T102/'[1]23valor'!T$110</f>
        <v>0.0560969098766975</v>
      </c>
      <c r="T30" s="38">
        <f>'[1]23valor'!U102/'[1]23valor'!U$110</f>
        <v>0.0513344079905508</v>
      </c>
      <c r="U30" s="38">
        <f>'[1]23valor'!W102/'[1]23valor'!W$110</f>
        <v>0.020619840051494014</v>
      </c>
      <c r="V30" s="38">
        <f>'[1]23valor'!X102/'[1]23valor'!X$110</f>
        <v>0.07942073780425626</v>
      </c>
      <c r="W30" s="38">
        <f>'[1]23valor'!Y102/'[1]23valor'!Y$110</f>
        <v>0.15819818527657895</v>
      </c>
      <c r="X30" s="38">
        <f>'[1]23valor'!Z102/'[1]23valor'!Z$110</f>
        <v>0.12239731432479725</v>
      </c>
      <c r="Y30" s="38">
        <f>'[1]23valor'!AA102/'[1]23valor'!AA$110</f>
        <v>0.06760867283621985</v>
      </c>
      <c r="Z30" s="39">
        <f>'[1]23valor'!AB102/'[1]23valor'!AB$110</f>
        <v>0.048610470603923796</v>
      </c>
    </row>
    <row r="31" spans="1:26" ht="15" customHeight="1">
      <c r="A31" s="76"/>
      <c r="B31" s="37" t="s">
        <v>76</v>
      </c>
      <c r="C31" s="38">
        <f>'[1]23valor'!D103/'[1]23valor'!D$110</f>
        <v>0.03360261385675124</v>
      </c>
      <c r="D31" s="38">
        <f>'[1]23valor'!E103/'[1]23valor'!E$110</f>
        <v>0.13812792031774138</v>
      </c>
      <c r="E31" s="38">
        <f>'[1]23valor'!F103/'[1]23valor'!F$110</f>
        <v>0.12351028678450629</v>
      </c>
      <c r="F31" s="38">
        <f>'[1]23valor'!G103/'[1]23valor'!G$110</f>
        <v>0.13378915598322133</v>
      </c>
      <c r="G31" s="38">
        <f>'[1]23valor'!H103/'[1]23valor'!H$110</f>
        <v>0.212667217308215</v>
      </c>
      <c r="H31" s="38">
        <f>'[1]23valor'!I103/'[1]23valor'!I$110</f>
        <v>0.2144566047362677</v>
      </c>
      <c r="I31" s="38">
        <f>'[1]23valor'!J103/'[1]23valor'!J$110</f>
        <v>0.17062024891196687</v>
      </c>
      <c r="J31" s="38">
        <f>'[1]23valor'!K103/'[1]23valor'!K$110</f>
        <v>0.20428187330508124</v>
      </c>
      <c r="K31" s="38">
        <f>'[1]23valor'!L103/'[1]23valor'!L$110</f>
        <v>0.12075147879602356</v>
      </c>
      <c r="L31" s="38">
        <f>'[1]23valor'!M103/'[1]23valor'!M$110</f>
        <v>0.25186369727965574</v>
      </c>
      <c r="M31" s="38">
        <f>'[1]23valor'!N103/'[1]23valor'!N$110</f>
        <v>0.16427826208864568</v>
      </c>
      <c r="N31" s="38">
        <f>'[1]23valor'!O103/'[1]23valor'!O$110</f>
        <v>0.17960462102431807</v>
      </c>
      <c r="O31" s="38">
        <f>'[1]23valor'!P103/'[1]23valor'!P$110</f>
        <v>0.1549494706480648</v>
      </c>
      <c r="P31" s="38">
        <f>'[1]23valor'!Q103/'[1]23valor'!Q$110</f>
        <v>0.12145697663071872</v>
      </c>
      <c r="Q31" s="38">
        <f>'[1]23valor'!R103/'[1]23valor'!R$110</f>
        <v>0.22382365297033943</v>
      </c>
      <c r="R31" s="38">
        <f>'[1]23valor'!S103/'[1]23valor'!S$110</f>
        <v>0.2395846026396897</v>
      </c>
      <c r="S31" s="38">
        <f>'[1]23valor'!T103/'[1]23valor'!T$110</f>
        <v>0.2245844088737379</v>
      </c>
      <c r="T31" s="38">
        <f>'[1]23valor'!U103/'[1]23valor'!U$110</f>
        <v>0.25377287622263</v>
      </c>
      <c r="U31" s="38">
        <f>'[1]23valor'!W103/'[1]23valor'!W$110</f>
        <v>0.12038583439696023</v>
      </c>
      <c r="V31" s="38">
        <f>'[1]23valor'!X103/'[1]23valor'!X$110</f>
        <v>0.5789397278034999</v>
      </c>
      <c r="W31" s="38">
        <f>'[1]23valor'!Y103/'[1]23valor'!Y$110</f>
        <v>0.8166693577134225</v>
      </c>
      <c r="X31" s="38">
        <f>'[1]23valor'!Z103/'[1]23valor'!Z$110</f>
        <v>0.6909052926516814</v>
      </c>
      <c r="Y31" s="38">
        <f>'[1]23valor'!AA103/'[1]23valor'!AA$110</f>
        <v>0.4197736051178517</v>
      </c>
      <c r="Z31" s="39">
        <f>'[1]23valor'!AB103/'[1]23valor'!AB$110</f>
        <v>0.22284107658836383</v>
      </c>
    </row>
    <row r="32" spans="1:26" ht="15" customHeight="1">
      <c r="A32" s="76"/>
      <c r="B32" s="37" t="s">
        <v>77</v>
      </c>
      <c r="C32" s="38">
        <f>'[1]23valor'!D104/'[1]23valor'!D$110</f>
        <v>0.4570738498475647</v>
      </c>
      <c r="D32" s="38">
        <f>'[1]23valor'!E104/'[1]23valor'!E$110</f>
        <v>0.1239330561194114</v>
      </c>
      <c r="E32" s="38">
        <f>'[1]23valor'!F104/'[1]23valor'!F$110</f>
        <v>0.154782421982183</v>
      </c>
      <c r="F32" s="38">
        <f>'[1]23valor'!G104/'[1]23valor'!G$110</f>
        <v>0.16841776228369995</v>
      </c>
      <c r="G32" s="38">
        <f>'[1]23valor'!H104/'[1]23valor'!H$110</f>
        <v>0.1351123338187037</v>
      </c>
      <c r="H32" s="38">
        <f>'[1]23valor'!I104/'[1]23valor'!I$110</f>
        <v>0.11281800881285581</v>
      </c>
      <c r="I32" s="38">
        <f>'[1]23valor'!J104/'[1]23valor'!J$110</f>
        <v>0.20975265644559743</v>
      </c>
      <c r="J32" s="38">
        <f>'[1]23valor'!K104/'[1]23valor'!K$110</f>
        <v>0.3091161211055714</v>
      </c>
      <c r="K32" s="38">
        <f>'[1]23valor'!L104/'[1]23valor'!L$110</f>
        <v>0.070332541591654</v>
      </c>
      <c r="L32" s="38">
        <f>'[1]23valor'!M104/'[1]23valor'!M$110</f>
        <v>0.1939252390618883</v>
      </c>
      <c r="M32" s="38">
        <f>'[1]23valor'!N104/'[1]23valor'!N$110</f>
        <v>0.1832375089350301</v>
      </c>
      <c r="N32" s="38">
        <f>'[1]23valor'!O104/'[1]23valor'!O$110</f>
        <v>0.06374850156943333</v>
      </c>
      <c r="O32" s="38">
        <f>'[1]23valor'!P104/'[1]23valor'!P$110</f>
        <v>0.17747136564276184</v>
      </c>
      <c r="P32" s="38">
        <f>'[1]23valor'!Q104/'[1]23valor'!Q$110</f>
        <v>0.747641196598419</v>
      </c>
      <c r="Q32" s="38">
        <f>'[1]23valor'!R104/'[1]23valor'!R$110</f>
        <v>0.22304380968993642</v>
      </c>
      <c r="R32" s="38">
        <f>'[1]23valor'!S104/'[1]23valor'!S$110</f>
        <v>0.31583633440707565</v>
      </c>
      <c r="S32" s="38">
        <f>'[1]23valor'!T104/'[1]23valor'!T$110</f>
        <v>0.3547562006540913</v>
      </c>
      <c r="T32" s="38">
        <f>'[1]23valor'!U104/'[1]23valor'!U$110</f>
        <v>0.4773584423472047</v>
      </c>
      <c r="U32" s="38">
        <f>'[1]23valor'!W104/'[1]23valor'!W$110</f>
        <v>0.6665047661650735</v>
      </c>
      <c r="V32" s="38">
        <f>'[1]23valor'!X104/'[1]23valor'!X$110</f>
        <v>0.10193044466357651</v>
      </c>
      <c r="W32" s="38">
        <f>'[1]23valor'!Y104/'[1]23valor'!Y$110</f>
        <v>0.19043065610108492</v>
      </c>
      <c r="X32" s="38">
        <f>'[1]23valor'!Z104/'[1]23valor'!Z$110</f>
        <v>0.04009847660574113</v>
      </c>
      <c r="Y32" s="38">
        <f>'[1]23valor'!AA104/'[1]23valor'!AA$110</f>
        <v>0.18175879406878553</v>
      </c>
      <c r="Z32" s="39">
        <f>'[1]23valor'!AB104/'[1]23valor'!AB$110</f>
        <v>0.21116557787078527</v>
      </c>
    </row>
    <row r="33" spans="1:26" ht="15" customHeight="1">
      <c r="A33" s="76"/>
      <c r="B33" s="37" t="s">
        <v>78</v>
      </c>
      <c r="C33" s="38">
        <f>'[1]23valor'!D105/'[1]23valor'!D$110</f>
        <v>0.490676463704316</v>
      </c>
      <c r="D33" s="38">
        <f>'[1]23valor'!E105/'[1]23valor'!E$110</f>
        <v>0.26206097643715276</v>
      </c>
      <c r="E33" s="38">
        <f>'[1]23valor'!F105/'[1]23valor'!F$110</f>
        <v>0.2782927087666893</v>
      </c>
      <c r="F33" s="38">
        <f>'[1]23valor'!G105/'[1]23valor'!G$110</f>
        <v>0.30220691826692125</v>
      </c>
      <c r="G33" s="38">
        <f>'[1]23valor'!H105/'[1]23valor'!H$110</f>
        <v>0.34777955112691866</v>
      </c>
      <c r="H33" s="38">
        <f>'[1]23valor'!I105/'[1]23valor'!I$110</f>
        <v>0.32727461354912335</v>
      </c>
      <c r="I33" s="38">
        <f>'[1]23valor'!J105/'[1]23valor'!J$110</f>
        <v>0.3803729053575643</v>
      </c>
      <c r="J33" s="38">
        <f>'[1]23valor'!K105/'[1]23valor'!K$110</f>
        <v>0.5133979944106526</v>
      </c>
      <c r="K33" s="38">
        <f>'[1]23valor'!L105/'[1]23valor'!L$110</f>
        <v>0.19108402038767747</v>
      </c>
      <c r="L33" s="38">
        <f>'[1]23valor'!M105/'[1]23valor'!M$110</f>
        <v>0.4457889363415441</v>
      </c>
      <c r="M33" s="38">
        <f>'[1]23valor'!N105/'[1]23valor'!N$110</f>
        <v>0.34751577102367576</v>
      </c>
      <c r="N33" s="38">
        <f>'[1]23valor'!O105/'[1]23valor'!O$110</f>
        <v>0.24335312259375155</v>
      </c>
      <c r="O33" s="38">
        <f>'[1]23valor'!P105/'[1]23valor'!P$110</f>
        <v>0.33242083629082664</v>
      </c>
      <c r="P33" s="38">
        <f>'[1]23valor'!Q105/'[1]23valor'!Q$110</f>
        <v>0.8690981732291378</v>
      </c>
      <c r="Q33" s="38">
        <f>'[1]23valor'!R105/'[1]23valor'!R$110</f>
        <v>0.44686746266027616</v>
      </c>
      <c r="R33" s="38">
        <f>'[1]23valor'!S105/'[1]23valor'!S$110</f>
        <v>0.5554209370467653</v>
      </c>
      <c r="S33" s="38">
        <f>'[1]23valor'!T105/'[1]23valor'!T$110</f>
        <v>0.5793406095278292</v>
      </c>
      <c r="T33" s="38">
        <f>'[1]23valor'!U105/'[1]23valor'!U$110</f>
        <v>0.7311313185698347</v>
      </c>
      <c r="U33" s="38">
        <f>'[1]23valor'!W105/'[1]23valor'!W$110</f>
        <v>0.7868906005620335</v>
      </c>
      <c r="V33" s="38">
        <f>'[1]23valor'!X105/'[1]23valor'!X$110</f>
        <v>0.6808701724670766</v>
      </c>
      <c r="W33" s="38">
        <f>'[1]23valor'!Y105/'[1]23valor'!Y$110</f>
        <v>1.0071000138145065</v>
      </c>
      <c r="X33" s="38">
        <f>'[1]23valor'!Z105/'[1]23valor'!Z$110</f>
        <v>0.7310037692574229</v>
      </c>
      <c r="Y33" s="38">
        <f>'[1]23valor'!AA105/'[1]23valor'!AA$110</f>
        <v>0.6015323991866385</v>
      </c>
      <c r="Z33" s="39">
        <f>'[1]23valor'!AB105/'[1]23valor'!AB$110</f>
        <v>0.43400665445914915</v>
      </c>
    </row>
    <row r="34" spans="1:26" ht="15" customHeight="1">
      <c r="A34" s="76"/>
      <c r="B34" s="37" t="s">
        <v>79</v>
      </c>
      <c r="C34" s="38">
        <f>'[1]23valor'!D106/'[1]23valor'!D$110</f>
        <v>0.0018674461802010865</v>
      </c>
      <c r="D34" s="38">
        <f>'[1]23valor'!E106/'[1]23valor'!E$110</f>
        <v>0.01714004276843981</v>
      </c>
      <c r="E34" s="38">
        <f>'[1]23valor'!F106/'[1]23valor'!F$110</f>
        <v>0.014718384285230712</v>
      </c>
      <c r="F34" s="38">
        <f>'[1]23valor'!G106/'[1]23valor'!G$110</f>
        <v>0.01594132108299256</v>
      </c>
      <c r="G34" s="38">
        <f>'[1]23valor'!H106/'[1]23valor'!H$110</f>
        <v>0.0015628625959621316</v>
      </c>
      <c r="H34" s="38">
        <f>'[1]23valor'!I106/'[1]23valor'!I$110</f>
        <v>0.004595912439049694</v>
      </c>
      <c r="I34" s="38">
        <f>'[1]23valor'!J106/'[1]23valor'!J$110</f>
        <v>0.0009220360317834947</v>
      </c>
      <c r="J34" s="38">
        <f>'[1]23valor'!K106/'[1]23valor'!K$110</f>
        <v>0.0028697224624577404</v>
      </c>
      <c r="K34" s="38">
        <f>'[1]23valor'!L106/'[1]23valor'!L$110</f>
        <v>0.0010312454080810692</v>
      </c>
      <c r="L34" s="38">
        <f>'[1]23valor'!M106/'[1]23valor'!M$110</f>
        <v>0.0018741402201994928</v>
      </c>
      <c r="M34" s="38">
        <f>'[1]23valor'!N106/'[1]23valor'!N$110</f>
        <v>0.0011614859145225112</v>
      </c>
      <c r="N34" s="38">
        <f>'[1]23valor'!O106/'[1]23valor'!O$110</f>
        <v>0.0003128123003325743</v>
      </c>
      <c r="O34" s="38">
        <f>'[1]23valor'!P106/'[1]23valor'!P$110</f>
        <v>0.0023455129087962033</v>
      </c>
      <c r="P34" s="38">
        <f>'[1]23valor'!Q106/'[1]23valor'!Q$110</f>
        <v>0.0030194905813671043</v>
      </c>
      <c r="Q34" s="38">
        <f>'[1]23valor'!R106/'[1]23valor'!R$110</f>
        <v>0.013637869832737383</v>
      </c>
      <c r="R34" s="38">
        <f>'[1]23valor'!S106/'[1]23valor'!S$110</f>
        <v>0.028461816244167132</v>
      </c>
      <c r="S34" s="38">
        <f>'[1]23valor'!T106/'[1]23valor'!T$110</f>
        <v>0.0059384480317411885</v>
      </c>
      <c r="T34" s="38">
        <f>'[1]23valor'!U106/'[1]23valor'!U$110</f>
        <v>0.001047652264321342</v>
      </c>
      <c r="U34" s="38">
        <f>'[1]23valor'!W106/'[1]23valor'!W$110</f>
        <v>0.0026424793052147043</v>
      </c>
      <c r="V34" s="38">
        <f>'[1]23valor'!X106/'[1]23valor'!X$110</f>
        <v>0</v>
      </c>
      <c r="W34" s="38">
        <f>'[1]23valor'!Y106/'[1]23valor'!Y$110</f>
        <v>0.0008834858818956073</v>
      </c>
      <c r="X34" s="38">
        <f>'[1]23valor'!Z106/'[1]23valor'!Z$110</f>
        <v>0.00040805773313376027</v>
      </c>
      <c r="Y34" s="38">
        <f>'[1]23valor'!AA106/'[1]23valor'!AA$110</f>
        <v>0.06918475641656732</v>
      </c>
      <c r="Z34" s="39">
        <f>'[1]23valor'!AB106/'[1]23valor'!AB$110</f>
        <v>0.00789122094967142</v>
      </c>
    </row>
    <row r="35" spans="1:26" ht="15" customHeight="1">
      <c r="A35" s="76"/>
      <c r="B35" s="37" t="s">
        <v>80</v>
      </c>
      <c r="C35" s="38">
        <f>'[1]23valor'!D107/'[1]23valor'!D$110</f>
        <v>0.05057044255984542</v>
      </c>
      <c r="D35" s="38">
        <f>'[1]23valor'!E107/'[1]23valor'!E$110</f>
        <v>0.011753782443831871</v>
      </c>
      <c r="E35" s="38">
        <f>'[1]23valor'!F107/'[1]23valor'!F$110</f>
        <v>0.010395375698645216</v>
      </c>
      <c r="F35" s="38">
        <f>'[1]23valor'!G107/'[1]23valor'!G$110</f>
        <v>0.011258633704853444</v>
      </c>
      <c r="G35" s="38">
        <f>'[1]23valor'!H107/'[1]23valor'!H$110</f>
        <v>0.004878025678306047</v>
      </c>
      <c r="H35" s="38">
        <f>'[1]23valor'!I107/'[1]23valor'!I$110</f>
        <v>0.0018688957064307203</v>
      </c>
      <c r="I35" s="38">
        <f>'[1]23valor'!J107/'[1]23valor'!J$110</f>
        <v>0.006481000708048147</v>
      </c>
      <c r="J35" s="38">
        <f>'[1]23valor'!K107/'[1]23valor'!K$110</f>
        <v>0.0018369082760937466</v>
      </c>
      <c r="K35" s="38">
        <f>'[1]23valor'!L107/'[1]23valor'!L$110</f>
        <v>0.0011764164354847563</v>
      </c>
      <c r="L35" s="38">
        <f>'[1]23valor'!M107/'[1]23valor'!M$110</f>
        <v>0.0015434095931054648</v>
      </c>
      <c r="M35" s="38">
        <f>'[1]23valor'!N107/'[1]23valor'!N$110</f>
        <v>0.0015796479971326028</v>
      </c>
      <c r="N35" s="38">
        <f>'[1]23valor'!O107/'[1]23valor'!O$110</f>
        <v>0.0007920141221186454</v>
      </c>
      <c r="O35" s="38">
        <f>'[1]23valor'!P107/'[1]23valor'!P$110</f>
        <v>0.00347907154132192</v>
      </c>
      <c r="P35" s="38">
        <f>'[1]23valor'!Q107/'[1]23valor'!Q$110</f>
        <v>0.014054660736571434</v>
      </c>
      <c r="Q35" s="38">
        <f>'[1]23valor'!R107/'[1]23valor'!R$110</f>
        <v>0.0007291434297318701</v>
      </c>
      <c r="R35" s="38">
        <f>'[1]23valor'!S107/'[1]23valor'!S$110</f>
        <v>0.0030918473332008064</v>
      </c>
      <c r="S35" s="38">
        <f>'[1]23valor'!T107/'[1]23valor'!T$110</f>
        <v>0.018445791308946472</v>
      </c>
      <c r="T35" s="38">
        <f>'[1]23valor'!U107/'[1]23valor'!U$110</f>
        <v>0</v>
      </c>
      <c r="U35" s="38">
        <f>'[1]23valor'!W107/'[1]23valor'!W$110</f>
        <v>0.0039140482941902015</v>
      </c>
      <c r="V35" s="38">
        <f>'[1]23valor'!X107/'[1]23valor'!X$110</f>
        <v>0</v>
      </c>
      <c r="W35" s="38">
        <f>'[1]23valor'!Y107/'[1]23valor'!Y$110</f>
        <v>0.18128809028904444</v>
      </c>
      <c r="X35" s="38">
        <f>'[1]23valor'!Z107/'[1]23valor'!Z$110</f>
        <v>0.0005593205135195508</v>
      </c>
      <c r="Y35" s="38">
        <f>'[1]23valor'!AA107/'[1]23valor'!AA$110</f>
        <v>0.09549790087598815</v>
      </c>
      <c r="Z35" s="39">
        <f>'[1]23valor'!AB107/'[1]23valor'!AB$110</f>
        <v>0.010961988806439357</v>
      </c>
    </row>
    <row r="36" spans="1:26" ht="15" customHeight="1">
      <c r="A36" s="76"/>
      <c r="B36" s="37" t="s">
        <v>81</v>
      </c>
      <c r="C36" s="38">
        <f>'[1]23valor'!D108/'[1]23valor'!D$110</f>
        <v>-0.048702996379644335</v>
      </c>
      <c r="D36" s="38">
        <f>'[1]23valor'!E108/'[1]23valor'!E$110</f>
        <v>0.0053862603246079355</v>
      </c>
      <c r="E36" s="38">
        <f>'[1]23valor'!F108/'[1]23valor'!F$110</f>
        <v>0.004323008586585495</v>
      </c>
      <c r="F36" s="38">
        <f>'[1]23valor'!G108/'[1]23valor'!G$110</f>
        <v>0.004682687378139117</v>
      </c>
      <c r="G36" s="38">
        <f>'[1]23valor'!H108/'[1]23valor'!H$110</f>
        <v>-0.0033151630823439154</v>
      </c>
      <c r="H36" s="38">
        <f>'[1]23valor'!I108/'[1]23valor'!I$110</f>
        <v>0.0027270167326189734</v>
      </c>
      <c r="I36" s="38">
        <f>'[1]23valor'!J108/'[1]23valor'!J$110</f>
        <v>-0.005558964676264653</v>
      </c>
      <c r="J36" s="38">
        <f>'[1]23valor'!K108/'[1]23valor'!K$110</f>
        <v>0.0010328141863639936</v>
      </c>
      <c r="K36" s="38">
        <f>'[1]23valor'!L108/'[1]23valor'!L$110</f>
        <v>-0.00014517102740368697</v>
      </c>
      <c r="L36" s="38">
        <f>'[1]23valor'!M108/'[1]23valor'!M$110</f>
        <v>0.0003307306270940281</v>
      </c>
      <c r="M36" s="38">
        <f>'[1]23valor'!N108/'[1]23valor'!N$110</f>
        <v>-0.00041816208261009175</v>
      </c>
      <c r="N36" s="38">
        <f>'[1]23valor'!O108/'[1]23valor'!O$110</f>
        <v>-0.0004792018217860712</v>
      </c>
      <c r="O36" s="38">
        <f>'[1]23valor'!P108/'[1]23valor'!P$110</f>
        <v>-0.001133558632525717</v>
      </c>
      <c r="P36" s="38">
        <f>'[1]23valor'!Q108/'[1]23valor'!Q$110</f>
        <v>-0.011035170155204329</v>
      </c>
      <c r="Q36" s="38">
        <f>'[1]23valor'!R108/'[1]23valor'!R$110</f>
        <v>0.012908726403005513</v>
      </c>
      <c r="R36" s="38">
        <f>'[1]23valor'!S108/'[1]23valor'!S$110</f>
        <v>0.02536996891096633</v>
      </c>
      <c r="S36" s="38">
        <f>'[1]23valor'!T108/'[1]23valor'!T$110</f>
        <v>-0.012507343277205285</v>
      </c>
      <c r="T36" s="38">
        <f>'[1]23valor'!U108/'[1]23valor'!U$110</f>
        <v>0.001047652264321342</v>
      </c>
      <c r="U36" s="38">
        <f>'[1]23valor'!W108/'[1]23valor'!W$110</f>
        <v>-0.0012715689889754968</v>
      </c>
      <c r="V36" s="38">
        <f>'[1]23valor'!X108/'[1]23valor'!X$110</f>
        <v>0</v>
      </c>
      <c r="W36" s="38">
        <f>'[1]23valor'!Y108/'[1]23valor'!Y$110</f>
        <v>-0.18040460440714884</v>
      </c>
      <c r="X36" s="38">
        <f>'[1]23valor'!Z108/'[1]23valor'!Z$110</f>
        <v>-0.00015126278038579046</v>
      </c>
      <c r="Y36" s="38">
        <f>'[1]23valor'!AA108/'[1]23valor'!AA$110</f>
        <v>-0.026313144459420835</v>
      </c>
      <c r="Z36" s="39">
        <f>'[1]23valor'!AB108/'[1]23valor'!AB$110</f>
        <v>-0.003070767856767937</v>
      </c>
    </row>
    <row r="37" spans="1:26" ht="15" customHeight="1">
      <c r="A37" s="76"/>
      <c r="B37" s="37" t="s">
        <v>82</v>
      </c>
      <c r="C37" s="40">
        <f>'[1]23valor'!D109/'[1]23valor'!D$110</f>
        <v>0.4419734673246717</v>
      </c>
      <c r="D37" s="40">
        <f>'[1]23valor'!E109/'[1]23valor'!E$110</f>
        <v>0.2674472367617607</v>
      </c>
      <c r="E37" s="40">
        <f>'[1]23valor'!F109/'[1]23valor'!F$110</f>
        <v>0.28261571735327484</v>
      </c>
      <c r="F37" s="40">
        <f>'[1]23valor'!G109/'[1]23valor'!G$110</f>
        <v>0.3068896056450604</v>
      </c>
      <c r="G37" s="40">
        <f>'[1]23valor'!H109/'[1]23valor'!H$110</f>
        <v>0.34446438804457474</v>
      </c>
      <c r="H37" s="40">
        <f>'[1]23valor'!I109/'[1]23valor'!I$110</f>
        <v>0.33000163028174234</v>
      </c>
      <c r="I37" s="40">
        <f>'[1]23valor'!J109/'[1]23valor'!J$110</f>
        <v>0.37481394068129964</v>
      </c>
      <c r="J37" s="40">
        <f>'[1]23valor'!K109/'[1]23valor'!K$110</f>
        <v>0.5144308085970166</v>
      </c>
      <c r="K37" s="40">
        <f>'[1]23valor'!L109/'[1]23valor'!L$110</f>
        <v>0.19093884936027378</v>
      </c>
      <c r="L37" s="40">
        <f>'[1]23valor'!M109/'[1]23valor'!M$110</f>
        <v>0.4461196669686381</v>
      </c>
      <c r="M37" s="40">
        <f>'[1]23valor'!N109/'[1]23valor'!N$110</f>
        <v>0.34709760894106567</v>
      </c>
      <c r="N37" s="40">
        <f>'[1]23valor'!O109/'[1]23valor'!O$110</f>
        <v>0.24287392077196548</v>
      </c>
      <c r="O37" s="40">
        <f>'[1]23valor'!P109/'[1]23valor'!P$110</f>
        <v>0.33128727765830096</v>
      </c>
      <c r="P37" s="40">
        <f>'[1]23valor'!Q109/'[1]23valor'!Q$110</f>
        <v>0.8580630030739336</v>
      </c>
      <c r="Q37" s="40">
        <f>'[1]23valor'!R109/'[1]23valor'!R$110</f>
        <v>0.45977618906328166</v>
      </c>
      <c r="R37" s="40">
        <f>'[1]23valor'!S109/'[1]23valor'!S$110</f>
        <v>0.5807909059577316</v>
      </c>
      <c r="S37" s="40">
        <f>'[1]23valor'!T109/'[1]23valor'!T$110</f>
        <v>0.5668332662506239</v>
      </c>
      <c r="T37" s="40">
        <f>'[1]23valor'!U109/'[1]23valor'!U$110</f>
        <v>0.7321789708341561</v>
      </c>
      <c r="U37" s="40">
        <f>'[1]23valor'!W109/'[1]23valor'!W$110</f>
        <v>0.785619031573058</v>
      </c>
      <c r="V37" s="40">
        <f>'[1]23valor'!X109/'[1]23valor'!X$110</f>
        <v>0.6808701724670766</v>
      </c>
      <c r="W37" s="40">
        <f>'[1]23valor'!Y109/'[1]23valor'!Y$110</f>
        <v>0.8266954094073576</v>
      </c>
      <c r="X37" s="40">
        <f>'[1]23valor'!Z109/'[1]23valor'!Z$110</f>
        <v>0.7308525064770371</v>
      </c>
      <c r="Y37" s="40">
        <f>'[1]23valor'!AA109/'[1]23valor'!AA$110</f>
        <v>0.5752192547272177</v>
      </c>
      <c r="Z37" s="41">
        <f>'[1]23valor'!AB109/'[1]23valor'!AB$110</f>
        <v>0.4309358866023812</v>
      </c>
    </row>
    <row r="38" spans="1:26" ht="15" customHeight="1" thickBot="1">
      <c r="A38" s="77"/>
      <c r="B38" s="43" t="s">
        <v>83</v>
      </c>
      <c r="C38" s="44">
        <f>'[1]23valor'!D110/'[1]23valor'!D$110</f>
        <v>1</v>
      </c>
      <c r="D38" s="44">
        <f>'[1]23valor'!E110/'[1]23valor'!E$110</f>
        <v>1</v>
      </c>
      <c r="E38" s="44">
        <f>'[1]23valor'!F110/'[1]23valor'!F$110</f>
        <v>1</v>
      </c>
      <c r="F38" s="44">
        <f>'[1]23valor'!G110/'[1]23valor'!G$110</f>
        <v>1</v>
      </c>
      <c r="G38" s="44">
        <f>'[1]23valor'!H110/'[1]23valor'!H$110</f>
        <v>1</v>
      </c>
      <c r="H38" s="44">
        <f>'[1]23valor'!I110/'[1]23valor'!I$110</f>
        <v>1</v>
      </c>
      <c r="I38" s="44">
        <f>'[1]23valor'!J110/'[1]23valor'!J$110</f>
        <v>1</v>
      </c>
      <c r="J38" s="44">
        <f>'[1]23valor'!K110/'[1]23valor'!K$110</f>
        <v>1</v>
      </c>
      <c r="K38" s="44">
        <f>'[1]23valor'!L110/'[1]23valor'!L$110</f>
        <v>1</v>
      </c>
      <c r="L38" s="44">
        <f>'[1]23valor'!M110/'[1]23valor'!M$110</f>
        <v>1</v>
      </c>
      <c r="M38" s="44">
        <f>'[1]23valor'!N110/'[1]23valor'!N$110</f>
        <v>1</v>
      </c>
      <c r="N38" s="44">
        <f>'[1]23valor'!O110/'[1]23valor'!O$110</f>
        <v>1</v>
      </c>
      <c r="O38" s="44">
        <f>'[1]23valor'!P110/'[1]23valor'!P$110</f>
        <v>1</v>
      </c>
      <c r="P38" s="44">
        <f>'[1]23valor'!Q110/'[1]23valor'!Q$110</f>
        <v>1</v>
      </c>
      <c r="Q38" s="44">
        <f>'[1]23valor'!R110/'[1]23valor'!R$110</f>
        <v>1</v>
      </c>
      <c r="R38" s="44">
        <f>'[1]23valor'!S110/'[1]23valor'!S$110</f>
        <v>1</v>
      </c>
      <c r="S38" s="44">
        <f>'[1]23valor'!T110/'[1]23valor'!T$110</f>
        <v>1</v>
      </c>
      <c r="T38" s="44">
        <f>'[1]23valor'!U110/'[1]23valor'!U$110</f>
        <v>1</v>
      </c>
      <c r="U38" s="44">
        <f>'[1]23valor'!W110/'[1]23valor'!W$110</f>
        <v>1</v>
      </c>
      <c r="V38" s="44">
        <f>'[1]23valor'!X110/'[1]23valor'!X$110</f>
        <v>1</v>
      </c>
      <c r="W38" s="44">
        <f>'[1]23valor'!Y110/'[1]23valor'!Y$110</f>
        <v>1</v>
      </c>
      <c r="X38" s="44">
        <f>'[1]23valor'!Z110/'[1]23valor'!Z$110</f>
        <v>1</v>
      </c>
      <c r="Y38" s="44">
        <f>'[1]23valor'!AA110/'[1]23valor'!AA$110</f>
        <v>1</v>
      </c>
      <c r="Z38" s="45">
        <f>'[1]23valor'!AB110/'[1]23valor'!AB$110</f>
        <v>1</v>
      </c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blackAndWhite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zoomScale="75" zoomScaleNormal="75" zoomScalePageLayoutView="0" workbookViewId="0" topLeftCell="A1">
      <pane xSplit="2" ySplit="4" topLeftCell="C1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21875" defaultRowHeight="12.75"/>
  <cols>
    <col min="1" max="1" width="3.28125" style="0" customWidth="1"/>
    <col min="2" max="2" width="48.7109375" style="27" customWidth="1"/>
    <col min="3" max="11" width="7.28125" style="0" customWidth="1"/>
    <col min="12" max="12" width="6.28125" style="0" customWidth="1"/>
    <col min="13" max="15" width="7.28125" style="0" customWidth="1"/>
    <col min="16" max="16" width="6.28125" style="0" customWidth="1"/>
    <col min="17" max="19" width="7.28125" style="0" customWidth="1"/>
    <col min="20" max="20" width="6.28125" style="0" customWidth="1"/>
    <col min="21" max="21" width="7.28125" style="0" customWidth="1"/>
    <col min="22" max="26" width="6.28125" style="0" customWidth="1"/>
    <col min="27" max="27" width="7.00390625" style="0" customWidth="1"/>
    <col min="28" max="28" width="7.28125" style="0" customWidth="1"/>
    <col min="29" max="29" width="8.28125" style="0" customWidth="1"/>
    <col min="30" max="30" width="7.28125" style="0" customWidth="1"/>
    <col min="31" max="31" width="6.28125" style="0" customWidth="1"/>
    <col min="32" max="35" width="7.28125" style="0" customWidth="1"/>
    <col min="36" max="36" width="6.28125" style="0" customWidth="1"/>
    <col min="37" max="38" width="8.00390625" style="0" customWidth="1"/>
  </cols>
  <sheetData>
    <row r="1" ht="18">
      <c r="B1" s="83" t="s">
        <v>106</v>
      </c>
    </row>
    <row r="2" spans="1:38" s="48" customFormat="1" ht="15.75" thickBot="1">
      <c r="A2" s="72"/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spans="1:38" ht="12.75">
      <c r="A3" s="29"/>
      <c r="B3" s="79" t="s">
        <v>104</v>
      </c>
      <c r="C3" s="49">
        <v>1</v>
      </c>
      <c r="D3" s="50">
        <v>2</v>
      </c>
      <c r="E3" s="50">
        <v>3</v>
      </c>
      <c r="F3" s="50">
        <v>4</v>
      </c>
      <c r="G3" s="50">
        <v>5</v>
      </c>
      <c r="H3" s="50">
        <v>6</v>
      </c>
      <c r="I3" s="50">
        <v>7</v>
      </c>
      <c r="J3" s="50">
        <v>8</v>
      </c>
      <c r="K3" s="50">
        <v>9</v>
      </c>
      <c r="L3" s="50">
        <v>10</v>
      </c>
      <c r="M3" s="50">
        <v>11</v>
      </c>
      <c r="N3" s="50">
        <v>12</v>
      </c>
      <c r="O3" s="50">
        <v>13</v>
      </c>
      <c r="P3" s="50">
        <v>14</v>
      </c>
      <c r="Q3" s="50">
        <v>15</v>
      </c>
      <c r="R3" s="50">
        <v>16</v>
      </c>
      <c r="S3" s="50">
        <v>17</v>
      </c>
      <c r="T3" s="50">
        <v>18</v>
      </c>
      <c r="U3" s="50" t="s">
        <v>18</v>
      </c>
      <c r="V3" s="50">
        <v>19</v>
      </c>
      <c r="W3" s="50">
        <v>20</v>
      </c>
      <c r="X3" s="50">
        <v>21</v>
      </c>
      <c r="Y3" s="50">
        <v>22</v>
      </c>
      <c r="Z3" s="50">
        <v>23</v>
      </c>
      <c r="AA3" s="31"/>
      <c r="AB3" s="50">
        <v>27</v>
      </c>
      <c r="AC3" s="50">
        <v>28</v>
      </c>
      <c r="AD3" s="50">
        <v>29</v>
      </c>
      <c r="AE3" s="50">
        <v>30</v>
      </c>
      <c r="AF3" s="50">
        <v>31</v>
      </c>
      <c r="AG3" s="50">
        <v>32</v>
      </c>
      <c r="AH3" s="50">
        <v>33</v>
      </c>
      <c r="AI3" s="50">
        <v>34</v>
      </c>
      <c r="AJ3" s="50">
        <v>35</v>
      </c>
      <c r="AK3" s="31">
        <v>36</v>
      </c>
      <c r="AL3" s="32">
        <v>37</v>
      </c>
    </row>
    <row r="4" spans="1:38" s="27" customFormat="1" ht="267.75">
      <c r="A4" s="33"/>
      <c r="B4" s="34"/>
      <c r="C4" s="51" t="s">
        <v>24</v>
      </c>
      <c r="D4" s="34" t="s">
        <v>25</v>
      </c>
      <c r="E4" s="34" t="s">
        <v>26</v>
      </c>
      <c r="F4" s="34" t="s">
        <v>27</v>
      </c>
      <c r="G4" s="34" t="s">
        <v>28</v>
      </c>
      <c r="H4" s="34" t="s">
        <v>29</v>
      </c>
      <c r="I4" s="34" t="s">
        <v>30</v>
      </c>
      <c r="J4" s="34" t="s">
        <v>31</v>
      </c>
      <c r="K4" s="34" t="s">
        <v>32</v>
      </c>
      <c r="L4" s="34" t="s">
        <v>33</v>
      </c>
      <c r="M4" s="34" t="s">
        <v>92</v>
      </c>
      <c r="N4" s="34" t="s">
        <v>35</v>
      </c>
      <c r="O4" s="34" t="s">
        <v>36</v>
      </c>
      <c r="P4" s="34" t="s">
        <v>37</v>
      </c>
      <c r="Q4" s="34" t="s">
        <v>38</v>
      </c>
      <c r="R4" s="34" t="s">
        <v>109</v>
      </c>
      <c r="S4" s="34" t="s">
        <v>39</v>
      </c>
      <c r="T4" s="34" t="s">
        <v>40</v>
      </c>
      <c r="U4" s="34" t="s">
        <v>41</v>
      </c>
      <c r="V4" s="34" t="s">
        <v>42</v>
      </c>
      <c r="W4" s="34" t="s">
        <v>43</v>
      </c>
      <c r="X4" s="34" t="s">
        <v>44</v>
      </c>
      <c r="Y4" s="34" t="s">
        <v>45</v>
      </c>
      <c r="Z4" s="34" t="s">
        <v>46</v>
      </c>
      <c r="AA4" s="34" t="s">
        <v>47</v>
      </c>
      <c r="AB4" s="34" t="s">
        <v>48</v>
      </c>
      <c r="AC4" s="34" t="s">
        <v>49</v>
      </c>
      <c r="AD4" s="34" t="s">
        <v>50</v>
      </c>
      <c r="AE4" s="34" t="s">
        <v>51</v>
      </c>
      <c r="AF4" s="34" t="s">
        <v>110</v>
      </c>
      <c r="AG4" s="34" t="s">
        <v>52</v>
      </c>
      <c r="AH4" s="34" t="s">
        <v>111</v>
      </c>
      <c r="AI4" s="34" t="s">
        <v>53</v>
      </c>
      <c r="AJ4" s="34" t="s">
        <v>54</v>
      </c>
      <c r="AK4" s="34" t="s">
        <v>55</v>
      </c>
      <c r="AL4" s="35" t="s">
        <v>56</v>
      </c>
    </row>
    <row r="5" spans="1:38" ht="15.75" customHeight="1">
      <c r="A5" s="36">
        <v>1</v>
      </c>
      <c r="B5" s="37" t="s">
        <v>24</v>
      </c>
      <c r="C5" s="38">
        <f>'[1]23valor'!D7/'[1]23valor'!$AM7</f>
        <v>0.08828877579847447</v>
      </c>
      <c r="D5" s="38">
        <f>'[1]23valor'!E7/'[1]23valor'!$AM7</f>
        <v>0.20228470931828763</v>
      </c>
      <c r="E5" s="38">
        <f>'[1]23valor'!F7/'[1]23valor'!$AM7</f>
        <v>0.13927495692793734</v>
      </c>
      <c r="F5" s="38">
        <f>'[1]23valor'!G7/'[1]23valor'!$AM7</f>
        <v>0.026198955129454922</v>
      </c>
      <c r="G5" s="38">
        <f>'[1]23valor'!H7/'[1]23valor'!$AM7</f>
        <v>0</v>
      </c>
      <c r="H5" s="38">
        <f>'[1]23valor'!I7/'[1]23valor'!$AM7</f>
        <v>0.02670666831129662</v>
      </c>
      <c r="I5" s="38">
        <f>'[1]23valor'!J7/'[1]23valor'!$AM7</f>
        <v>0</v>
      </c>
      <c r="J5" s="38">
        <f>'[1]23valor'!K7/'[1]23valor'!$AM7</f>
        <v>0</v>
      </c>
      <c r="K5" s="38">
        <f>'[1]23valor'!L7/'[1]23valor'!$AM7</f>
        <v>0</v>
      </c>
      <c r="L5" s="38">
        <f>'[1]23valor'!M7/'[1]23valor'!$AM7</f>
        <v>0</v>
      </c>
      <c r="M5" s="38">
        <f>'[1]23valor'!N7/'[1]23valor'!$AM7</f>
        <v>0.005171034883397063</v>
      </c>
      <c r="N5" s="38">
        <f>'[1]23valor'!O7/'[1]23valor'!$AM7</f>
        <v>0</v>
      </c>
      <c r="O5" s="38">
        <f>'[1]23valor'!P7/'[1]23valor'!$AM7</f>
        <v>0.02252559455362223</v>
      </c>
      <c r="P5" s="38">
        <f>'[1]23valor'!Q7/'[1]23valor'!$AM7</f>
        <v>0</v>
      </c>
      <c r="Q5" s="38">
        <f>'[1]23valor'!R7/'[1]23valor'!$AM7</f>
        <v>0.00018303139784261687</v>
      </c>
      <c r="R5" s="38">
        <f>'[1]23valor'!S7/'[1]23valor'!$AM7</f>
        <v>0.0273265876979027</v>
      </c>
      <c r="S5" s="38">
        <f>'[1]23valor'!T7/'[1]23valor'!$AM7</f>
        <v>0</v>
      </c>
      <c r="T5" s="38">
        <f>'[1]23valor'!U7/'[1]23valor'!$AM7</f>
        <v>0</v>
      </c>
      <c r="U5" s="38">
        <f>'[1]23valor'!V7/'[1]23valor'!$AM7</f>
        <v>0</v>
      </c>
      <c r="V5" s="38">
        <f>'[1]23valor'!W7/'[1]23valor'!$AM7</f>
        <v>0</v>
      </c>
      <c r="W5" s="38">
        <f>'[1]23valor'!X7/'[1]23valor'!$AM7</f>
        <v>0.0005482984048415785</v>
      </c>
      <c r="X5" s="38">
        <f>'[1]23valor'!Y7/'[1]23valor'!$AM7</f>
        <v>0.00011061462739184237</v>
      </c>
      <c r="Y5" s="38">
        <f>'[1]23valor'!Z7/'[1]23valor'!$AM7</f>
        <v>0.002322111386542418</v>
      </c>
      <c r="Z5" s="38">
        <f>'[1]23valor'!AA7/'[1]23valor'!$AM7</f>
        <v>0.001129224145820319</v>
      </c>
      <c r="AA5" s="40">
        <f>'[1]23valor'!AB7/'[1]23valor'!$AM7</f>
        <v>0.5420705625828117</v>
      </c>
      <c r="AB5" s="38">
        <f>'[1]23valor'!AC7/'[1]23valor'!$AM7</f>
        <v>0.14651663397301481</v>
      </c>
      <c r="AC5" s="38">
        <f>'[1]23valor'!AD7/'[1]23valor'!$AM7</f>
        <v>0</v>
      </c>
      <c r="AD5" s="38">
        <f>'[1]23valor'!AE7/'[1]23valor'!$AM7</f>
        <v>0.0036303879867739977</v>
      </c>
      <c r="AE5" s="38">
        <f>'[1]23valor'!AF7/'[1]23valor'!$AM7</f>
        <v>0.009140428850523031</v>
      </c>
      <c r="AF5" s="38">
        <f>'[1]23valor'!AG7/'[1]23valor'!$AM7</f>
        <v>0.012770816837297024</v>
      </c>
      <c r="AG5" s="38">
        <f>'[1]23valor'!AH7/'[1]23valor'!$AM7</f>
        <v>0.2986419866068764</v>
      </c>
      <c r="AH5" s="38">
        <f>'[1]23valor'!AI7/'[1]23valor'!$AM7</f>
        <v>0.2617786672926871</v>
      </c>
      <c r="AI5" s="38">
        <f>'[1]23valor'!AJ7/'[1]23valor'!$AM7</f>
        <v>0.033392884853356036</v>
      </c>
      <c r="AJ5" s="38">
        <f>'[1]23valor'!AK7/'[1]23valor'!$AM7</f>
        <v>0.0034704344608332705</v>
      </c>
      <c r="AK5" s="40">
        <f>'[1]23valor'!AL7/'[1]23valor'!$AM7</f>
        <v>0.4579294374171882</v>
      </c>
      <c r="AL5" s="41">
        <f>'[1]23valor'!AM7/'[1]23valor'!$AM7</f>
        <v>1</v>
      </c>
    </row>
    <row r="6" spans="1:38" ht="15.75" customHeight="1">
      <c r="A6" s="36">
        <v>2</v>
      </c>
      <c r="B6" s="37" t="s">
        <v>61</v>
      </c>
      <c r="C6" s="38">
        <f>'[1]23valor'!D11/'[1]23valor'!$AM11</f>
        <v>0.10467277495195158</v>
      </c>
      <c r="D6" s="38">
        <f>'[1]23valor'!E11/'[1]23valor'!$AM11</f>
        <v>0.11340974667423347</v>
      </c>
      <c r="E6" s="38">
        <f>'[1]23valor'!F11/'[1]23valor'!$AM11</f>
        <v>0</v>
      </c>
      <c r="F6" s="38">
        <f>'[1]23valor'!G11/'[1]23valor'!$AM11</f>
        <v>0.008535846970786982</v>
      </c>
      <c r="G6" s="38">
        <f>'[1]23valor'!H11/'[1]23valor'!$AM11</f>
        <v>0.007789013103347883</v>
      </c>
      <c r="H6" s="38">
        <f>'[1]23valor'!I11/'[1]23valor'!$AM11</f>
        <v>0.001815748630628768</v>
      </c>
      <c r="I6" s="38">
        <f>'[1]23valor'!J11/'[1]23valor'!$AM11</f>
        <v>0.00016244691466895642</v>
      </c>
      <c r="J6" s="38">
        <f>'[1]23valor'!K11/'[1]23valor'!$AM11</f>
        <v>0</v>
      </c>
      <c r="K6" s="38">
        <f>'[1]23valor'!L11/'[1]23valor'!$AM11</f>
        <v>0</v>
      </c>
      <c r="L6" s="38">
        <f>'[1]23valor'!M11/'[1]23valor'!$AM11</f>
        <v>0</v>
      </c>
      <c r="M6" s="38">
        <f>'[1]23valor'!N11/'[1]23valor'!$AM11</f>
        <v>0</v>
      </c>
      <c r="N6" s="38">
        <f>'[1]23valor'!O11/'[1]23valor'!$AM11</f>
        <v>0</v>
      </c>
      <c r="O6" s="38">
        <f>'[1]23valor'!P11/'[1]23valor'!$AM11</f>
        <v>0</v>
      </c>
      <c r="P6" s="38">
        <f>'[1]23valor'!Q11/'[1]23valor'!$AM11</f>
        <v>0</v>
      </c>
      <c r="Q6" s="38">
        <f>'[1]23valor'!R11/'[1]23valor'!$AM11</f>
        <v>0</v>
      </c>
      <c r="R6" s="38">
        <f>'[1]23valor'!S11/'[1]23valor'!$AM11</f>
        <v>0.04242396113088369</v>
      </c>
      <c r="S6" s="38">
        <f>'[1]23valor'!T11/'[1]23valor'!$AM11</f>
        <v>0</v>
      </c>
      <c r="T6" s="38">
        <f>'[1]23valor'!U11/'[1]23valor'!$AM11</f>
        <v>0</v>
      </c>
      <c r="U6" s="38">
        <f>'[1]23valor'!V11/'[1]23valor'!$AM11</f>
        <v>0</v>
      </c>
      <c r="V6" s="38">
        <f>'[1]23valor'!W11/'[1]23valor'!$AM11</f>
        <v>0</v>
      </c>
      <c r="W6" s="38">
        <f>'[1]23valor'!X11/'[1]23valor'!$AM11</f>
        <v>0.0008706029452821127</v>
      </c>
      <c r="X6" s="38">
        <f>'[1]23valor'!Y11/'[1]23valor'!$AM11</f>
        <v>0.001571726641926916</v>
      </c>
      <c r="Y6" s="38">
        <f>'[1]23valor'!Z11/'[1]23valor'!$AM11</f>
        <v>0.0026244670369893735</v>
      </c>
      <c r="Z6" s="38">
        <f>'[1]23valor'!AA11/'[1]23valor'!$AM11</f>
        <v>0.0011378316360795301</v>
      </c>
      <c r="AA6" s="40">
        <f>'[1]23valor'!AB11/'[1]23valor'!$AM11</f>
        <v>0.28501416663677925</v>
      </c>
      <c r="AB6" s="38">
        <f>'[1]23valor'!AC11/'[1]23valor'!$AM11</f>
        <v>0.3658030257320133</v>
      </c>
      <c r="AC6" s="38">
        <f>'[1]23valor'!AD11/'[1]23valor'!$AM11</f>
        <v>0</v>
      </c>
      <c r="AD6" s="38">
        <f>'[1]23valor'!AE11/'[1]23valor'!$AM11</f>
        <v>0</v>
      </c>
      <c r="AE6" s="38">
        <f>'[1]23valor'!AF11/'[1]23valor'!$AM11</f>
        <v>0.006202518560087427</v>
      </c>
      <c r="AF6" s="38">
        <f>'[1]23valor'!AG11/'[1]23valor'!$AM11</f>
        <v>0.006202518560087427</v>
      </c>
      <c r="AG6" s="38">
        <f>'[1]23valor'!AH11/'[1]23valor'!$AM11</f>
        <v>0.34298028907112016</v>
      </c>
      <c r="AH6" s="38">
        <f>'[1]23valor'!AI11/'[1]23valor'!$AM11</f>
        <v>0.3064641917070499</v>
      </c>
      <c r="AI6" s="38">
        <f>'[1]23valor'!AJ11/'[1]23valor'!$AM11</f>
        <v>0.03351258752618665</v>
      </c>
      <c r="AJ6" s="38">
        <f>'[1]23valor'!AK11/'[1]23valor'!$AM11</f>
        <v>0.0030035098378836055</v>
      </c>
      <c r="AK6" s="40">
        <f>'[1]23valor'!AL11/'[1]23valor'!$AM11</f>
        <v>0.7149858333632207</v>
      </c>
      <c r="AL6" s="41">
        <f>'[1]23valor'!AM11/'[1]23valor'!$AM11</f>
        <v>1</v>
      </c>
    </row>
    <row r="7" spans="1:38" ht="15.75" customHeight="1">
      <c r="A7" s="36">
        <v>3</v>
      </c>
      <c r="B7" s="37" t="s">
        <v>26</v>
      </c>
      <c r="C7" s="38">
        <f>'[1]23valor'!D15/'[1]23valor'!$AM15</f>
        <v>0</v>
      </c>
      <c r="D7" s="38">
        <f>'[1]23valor'!E15/'[1]23valor'!$AM15</f>
        <v>0</v>
      </c>
      <c r="E7" s="38">
        <f>'[1]23valor'!F15/'[1]23valor'!$AM15</f>
        <v>0.05476201934645556</v>
      </c>
      <c r="F7" s="38">
        <f>'[1]23valor'!G15/'[1]23valor'!$AM15</f>
        <v>0.00039222291736849704</v>
      </c>
      <c r="G7" s="38">
        <f>'[1]23valor'!H15/'[1]23valor'!$AM15</f>
        <v>0</v>
      </c>
      <c r="H7" s="38">
        <f>'[1]23valor'!I15/'[1]23valor'!$AM15</f>
        <v>0</v>
      </c>
      <c r="I7" s="38">
        <f>'[1]23valor'!J15/'[1]23valor'!$AM15</f>
        <v>0</v>
      </c>
      <c r="J7" s="38">
        <f>'[1]23valor'!K15/'[1]23valor'!$AM15</f>
        <v>0</v>
      </c>
      <c r="K7" s="38">
        <f>'[1]23valor'!L15/'[1]23valor'!$AM15</f>
        <v>0</v>
      </c>
      <c r="L7" s="38">
        <f>'[1]23valor'!M15/'[1]23valor'!$AM15</f>
        <v>0</v>
      </c>
      <c r="M7" s="38">
        <f>'[1]23valor'!N15/'[1]23valor'!$AM15</f>
        <v>0</v>
      </c>
      <c r="N7" s="38">
        <f>'[1]23valor'!O15/'[1]23valor'!$AM15</f>
        <v>0</v>
      </c>
      <c r="O7" s="38">
        <f>'[1]23valor'!P15/'[1]23valor'!$AM15</f>
        <v>0</v>
      </c>
      <c r="P7" s="38">
        <f>'[1]23valor'!Q15/'[1]23valor'!$AM15</f>
        <v>0</v>
      </c>
      <c r="Q7" s="38">
        <f>'[1]23valor'!R15/'[1]23valor'!$AM15</f>
        <v>0</v>
      </c>
      <c r="R7" s="38">
        <f>'[1]23valor'!S15/'[1]23valor'!$AM15</f>
        <v>0.010840271427883921</v>
      </c>
      <c r="S7" s="38">
        <f>'[1]23valor'!T15/'[1]23valor'!$AM15</f>
        <v>0</v>
      </c>
      <c r="T7" s="38">
        <f>'[1]23valor'!U15/'[1]23valor'!$AM15</f>
        <v>0</v>
      </c>
      <c r="U7" s="38">
        <f>'[1]23valor'!V15/'[1]23valor'!$AM15</f>
        <v>0</v>
      </c>
      <c r="V7" s="38">
        <f>'[1]23valor'!W15/'[1]23valor'!$AM15</f>
        <v>0</v>
      </c>
      <c r="W7" s="38">
        <f>'[1]23valor'!X15/'[1]23valor'!$AM15</f>
        <v>0.00016603301410077483</v>
      </c>
      <c r="X7" s="38">
        <f>'[1]23valor'!Y15/'[1]23valor'!$AM15</f>
        <v>0.0003537225083016507</v>
      </c>
      <c r="Y7" s="38">
        <f>'[1]23valor'!Z15/'[1]23valor'!$AM15</f>
        <v>0.0005919437894027624</v>
      </c>
      <c r="Z7" s="38">
        <f>'[1]23valor'!AA15/'[1]23valor'!$AM15</f>
        <v>0.00019972087203426537</v>
      </c>
      <c r="AA7" s="40">
        <f>'[1]23valor'!AB15/'[1]23valor'!$AM15</f>
        <v>0.06730593387554742</v>
      </c>
      <c r="AB7" s="38">
        <f>'[1]23valor'!AC15/'[1]23valor'!$AM15</f>
        <v>0.0674069974493479</v>
      </c>
      <c r="AC7" s="38">
        <f>'[1]23valor'!AD15/'[1]23valor'!$AM15</f>
        <v>0</v>
      </c>
      <c r="AD7" s="38">
        <f>'[1]23valor'!AE15/'[1]23valor'!$AM15</f>
        <v>0</v>
      </c>
      <c r="AE7" s="38">
        <f>'[1]23valor'!AF15/'[1]23valor'!$AM15</f>
        <v>0.027922421675730308</v>
      </c>
      <c r="AF7" s="38">
        <f>'[1]23valor'!AG15/'[1]23valor'!$AM15</f>
        <v>0.027922421675730308</v>
      </c>
      <c r="AG7" s="38">
        <f>'[1]23valor'!AH15/'[1]23valor'!$AM15</f>
        <v>0.8373646469993743</v>
      </c>
      <c r="AH7" s="38">
        <f>'[1]23valor'!AI15/'[1]23valor'!$AM15</f>
        <v>0.6793108426777035</v>
      </c>
      <c r="AI7" s="38">
        <f>'[1]23valor'!AJ15/'[1]23valor'!$AM15</f>
        <v>0.14314692718610134</v>
      </c>
      <c r="AJ7" s="38">
        <f>'[1]23valor'!AK15/'[1]23valor'!$AM15</f>
        <v>0.014906877135569565</v>
      </c>
      <c r="AK7" s="40">
        <f>'[1]23valor'!AL15/'[1]23valor'!$AM15</f>
        <v>0.9326940661244526</v>
      </c>
      <c r="AL7" s="41">
        <f>'[1]23valor'!AM15/'[1]23valor'!$AM15</f>
        <v>1</v>
      </c>
    </row>
    <row r="8" spans="1:38" ht="15.75" customHeight="1">
      <c r="A8" s="36">
        <v>4</v>
      </c>
      <c r="B8" s="37" t="s">
        <v>27</v>
      </c>
      <c r="C8" s="38">
        <f>'[1]23valor'!D19/'[1]23valor'!$AM19</f>
        <v>0</v>
      </c>
      <c r="D8" s="38">
        <f>'[1]23valor'!E19/'[1]23valor'!$AM19</f>
        <v>0</v>
      </c>
      <c r="E8" s="38">
        <f>'[1]23valor'!F19/'[1]23valor'!$AM19</f>
        <v>0</v>
      </c>
      <c r="F8" s="38">
        <f>'[1]23valor'!G19/'[1]23valor'!$AM19</f>
        <v>0.12165025579968478</v>
      </c>
      <c r="G8" s="38">
        <f>'[1]23valor'!H19/'[1]23valor'!$AM19</f>
        <v>0</v>
      </c>
      <c r="H8" s="38">
        <f>'[1]23valor'!I19/'[1]23valor'!$AM19</f>
        <v>0</v>
      </c>
      <c r="I8" s="38">
        <f>'[1]23valor'!J19/'[1]23valor'!$AM19</f>
        <v>0</v>
      </c>
      <c r="J8" s="38">
        <f>'[1]23valor'!K19/'[1]23valor'!$AM19</f>
        <v>0</v>
      </c>
      <c r="K8" s="38">
        <f>'[1]23valor'!L19/'[1]23valor'!$AM19</f>
        <v>0</v>
      </c>
      <c r="L8" s="38">
        <f>'[1]23valor'!M19/'[1]23valor'!$AM19</f>
        <v>0</v>
      </c>
      <c r="M8" s="38">
        <f>'[1]23valor'!N19/'[1]23valor'!$AM19</f>
        <v>0</v>
      </c>
      <c r="N8" s="38">
        <f>'[1]23valor'!O19/'[1]23valor'!$AM19</f>
        <v>0</v>
      </c>
      <c r="O8" s="38">
        <f>'[1]23valor'!P19/'[1]23valor'!$AM19</f>
        <v>0</v>
      </c>
      <c r="P8" s="38">
        <f>'[1]23valor'!Q19/'[1]23valor'!$AM19</f>
        <v>0</v>
      </c>
      <c r="Q8" s="38">
        <f>'[1]23valor'!R19/'[1]23valor'!$AM19</f>
        <v>0</v>
      </c>
      <c r="R8" s="38">
        <f>'[1]23valor'!S19/'[1]23valor'!$AM19</f>
        <v>0.13727194140898524</v>
      </c>
      <c r="S8" s="38">
        <f>'[1]23valor'!T19/'[1]23valor'!$AM19</f>
        <v>0</v>
      </c>
      <c r="T8" s="38">
        <f>'[1]23valor'!U19/'[1]23valor'!$AM19</f>
        <v>0</v>
      </c>
      <c r="U8" s="38">
        <f>'[1]23valor'!V19/'[1]23valor'!$AM19</f>
        <v>0</v>
      </c>
      <c r="V8" s="38">
        <f>'[1]23valor'!W19/'[1]23valor'!$AM19</f>
        <v>2.5089581209272198E-05</v>
      </c>
      <c r="W8" s="38">
        <f>'[1]23valor'!X19/'[1]23valor'!$AM19</f>
        <v>0.00016194184235075688</v>
      </c>
      <c r="X8" s="38">
        <f>'[1]23valor'!Y19/'[1]23valor'!$AM19</f>
        <v>0.0002075592627312518</v>
      </c>
      <c r="Y8" s="38">
        <f>'[1]23valor'!Z19/'[1]23valor'!$AM19</f>
        <v>0.0007207552420118194</v>
      </c>
      <c r="Z8" s="38">
        <f>'[1]23valor'!AA19/'[1]23valor'!$AM19</f>
        <v>0.0006546099824601018</v>
      </c>
      <c r="AA8" s="40">
        <f>'[1]23valor'!AB19/'[1]23valor'!$AM19</f>
        <v>0.2606921531194332</v>
      </c>
      <c r="AB8" s="38">
        <f>'[1]23valor'!AC19/'[1]23valor'!$AM19</f>
        <v>0.25206589892548165</v>
      </c>
      <c r="AC8" s="38">
        <f>'[1]23valor'!AD19/'[1]23valor'!$AM19</f>
        <v>0</v>
      </c>
      <c r="AD8" s="38">
        <f>'[1]23valor'!AE19/'[1]23valor'!$AM19</f>
        <v>0</v>
      </c>
      <c r="AE8" s="38">
        <f>'[1]23valor'!AF19/'[1]23valor'!$AM19</f>
        <v>0.010234268262364031</v>
      </c>
      <c r="AF8" s="38">
        <f>'[1]23valor'!AG19/'[1]23valor'!$AM19</f>
        <v>0.010234268262364031</v>
      </c>
      <c r="AG8" s="38">
        <f>'[1]23valor'!AH19/'[1]23valor'!$AM19</f>
        <v>0.47700767969272106</v>
      </c>
      <c r="AH8" s="38">
        <f>'[1]23valor'!AI19/'[1]23valor'!$AM19</f>
        <v>0.27211703605372817</v>
      </c>
      <c r="AI8" s="38">
        <f>'[1]23valor'!AJ19/'[1]23valor'!$AM19</f>
        <v>0.1651578704875818</v>
      </c>
      <c r="AJ8" s="38">
        <f>'[1]23valor'!AK19/'[1]23valor'!$AM19</f>
        <v>0.039732773151411056</v>
      </c>
      <c r="AK8" s="40">
        <f>'[1]23valor'!AL19/'[1]23valor'!$AM19</f>
        <v>0.7393078468805667</v>
      </c>
      <c r="AL8" s="41">
        <f>'[1]23valor'!AM19/'[1]23valor'!$AM19</f>
        <v>1</v>
      </c>
    </row>
    <row r="9" spans="1:38" ht="15.75" customHeight="1">
      <c r="A9" s="36">
        <v>5</v>
      </c>
      <c r="B9" s="37" t="s">
        <v>28</v>
      </c>
      <c r="C9" s="38">
        <f>'[1]23valor'!D23/'[1]23valor'!$AM23</f>
        <v>0.0012614498621607217</v>
      </c>
      <c r="D9" s="38">
        <f>'[1]23valor'!E23/'[1]23valor'!$AM23</f>
        <v>0.001117667583039059</v>
      </c>
      <c r="E9" s="38">
        <f>'[1]23valor'!F23/'[1]23valor'!$AM23</f>
        <v>2.8756455824332564E-05</v>
      </c>
      <c r="F9" s="38">
        <f>'[1]23valor'!G23/'[1]23valor'!$AM23</f>
        <v>0.00012269421151715228</v>
      </c>
      <c r="G9" s="38">
        <f>'[1]23valor'!H23/'[1]23valor'!$AM23</f>
        <v>0.11100183657897866</v>
      </c>
      <c r="H9" s="38">
        <f>'[1]23valor'!I23/'[1]23valor'!$AM23</f>
        <v>0.00016678744378112887</v>
      </c>
      <c r="I9" s="38">
        <f>'[1]23valor'!J23/'[1]23valor'!$AM23</f>
        <v>0.011504499426787981</v>
      </c>
      <c r="J9" s="38">
        <f>'[1]23valor'!K23/'[1]23valor'!$AM23</f>
        <v>0.0001322796967919298</v>
      </c>
      <c r="K9" s="38">
        <f>'[1]23valor'!L23/'[1]23valor'!$AM23</f>
        <v>0</v>
      </c>
      <c r="L9" s="38">
        <f>'[1]23valor'!M23/'[1]23valor'!$AM23</f>
        <v>0.00028181326707845913</v>
      </c>
      <c r="M9" s="38">
        <f>'[1]23valor'!N23/'[1]23valor'!$AM23</f>
        <v>0.003985644777252493</v>
      </c>
      <c r="N9" s="38">
        <f>'[1]23valor'!O23/'[1]23valor'!$AM23</f>
        <v>0.00631108350491352</v>
      </c>
      <c r="O9" s="38">
        <f>'[1]23valor'!P23/'[1]23valor'!$AM23</f>
        <v>0.0478890844327885</v>
      </c>
      <c r="P9" s="38">
        <f>'[1]23valor'!Q23/'[1]23valor'!$AM23</f>
        <v>0.00010735743507750824</v>
      </c>
      <c r="Q9" s="38">
        <f>'[1]23valor'!R23/'[1]23valor'!$AM23</f>
        <v>0.0018749209197464832</v>
      </c>
      <c r="R9" s="38">
        <f>'[1]23valor'!S23/'[1]23valor'!$AM23</f>
        <v>0.006184555099286457</v>
      </c>
      <c r="S9" s="38">
        <f>'[1]23valor'!T23/'[1]23valor'!$AM23</f>
        <v>0.0010218127302912838</v>
      </c>
      <c r="T9" s="38">
        <f>'[1]23valor'!U23/'[1]23valor'!$AM23</f>
        <v>0.00032782359639739125</v>
      </c>
      <c r="U9" s="38">
        <f>'[1]23valor'!V23/'[1]23valor'!$AM23</f>
        <v>0</v>
      </c>
      <c r="V9" s="38">
        <f>'[1]23valor'!W23/'[1]23valor'!$AM23</f>
        <v>0.00035466295516676827</v>
      </c>
      <c r="W9" s="38">
        <f>'[1]23valor'!X23/'[1]23valor'!$AM23</f>
        <v>0.003387510496106376</v>
      </c>
      <c r="X9" s="38">
        <f>'[1]23valor'!Y23/'[1]23valor'!$AM23</f>
        <v>8.626936747299769E-05</v>
      </c>
      <c r="Y9" s="38">
        <f>'[1]23valor'!Z23/'[1]23valor'!$AM23</f>
        <v>0.0032494795081495797</v>
      </c>
      <c r="Z9" s="38">
        <f>'[1]23valor'!AA23/'[1]23valor'!$AM23</f>
        <v>0.0012882892209300988</v>
      </c>
      <c r="AA9" s="40">
        <f>'[1]23valor'!AB23/'[1]23valor'!$AM23</f>
        <v>0.20168627856953886</v>
      </c>
      <c r="AB9" s="38">
        <f>'[1]23valor'!AC23/'[1]23valor'!$AM23</f>
        <v>0.42337171361637355</v>
      </c>
      <c r="AC9" s="38">
        <f>'[1]23valor'!AD23/'[1]23valor'!$AM23</f>
        <v>0</v>
      </c>
      <c r="AD9" s="38">
        <f>'[1]23valor'!AE23/'[1]23valor'!$AM23</f>
        <v>0</v>
      </c>
      <c r="AE9" s="38">
        <f>'[1]23valor'!AF23/'[1]23valor'!$AM23</f>
        <v>0.0021011383722312326</v>
      </c>
      <c r="AF9" s="38">
        <f>'[1]23valor'!AG23/'[1]23valor'!$AM23</f>
        <v>0.0021011383722312326</v>
      </c>
      <c r="AG9" s="38">
        <f>'[1]23valor'!AH23/'[1]23valor'!$AM23</f>
        <v>0.3728408694418564</v>
      </c>
      <c r="AH9" s="38">
        <f>'[1]23valor'!AI23/'[1]23valor'!$AM23</f>
        <v>0.30792221186989815</v>
      </c>
      <c r="AI9" s="38">
        <f>'[1]23valor'!AJ23/'[1]23valor'!$AM23</f>
        <v>0.05678633186483699</v>
      </c>
      <c r="AJ9" s="38">
        <f>'[1]23valor'!AK23/'[1]23valor'!$AM23</f>
        <v>0.00813232570712125</v>
      </c>
      <c r="AK9" s="40">
        <f>'[1]23valor'!AL23/'[1]23valor'!$AM23</f>
        <v>0.7983137214304612</v>
      </c>
      <c r="AL9" s="41">
        <f>'[1]23valor'!AM23/'[1]23valor'!$AM23</f>
        <v>1</v>
      </c>
    </row>
    <row r="10" spans="1:38" ht="15.75" customHeight="1">
      <c r="A10" s="36">
        <v>6</v>
      </c>
      <c r="B10" s="37" t="s">
        <v>62</v>
      </c>
      <c r="C10" s="38">
        <f>'[1]23valor'!D27/'[1]23valor'!$AM27</f>
        <v>7.152978005644541E-05</v>
      </c>
      <c r="D10" s="38">
        <f>'[1]23valor'!E27/'[1]23valor'!$AM27</f>
        <v>0.011764545002224788</v>
      </c>
      <c r="E10" s="38">
        <f>'[1]23valor'!F27/'[1]23valor'!$AM27</f>
        <v>0.003905736372787968</v>
      </c>
      <c r="F10" s="38">
        <f>'[1]23valor'!G27/'[1]23valor'!$AM27</f>
        <v>0.001277016955713599</v>
      </c>
      <c r="G10" s="38">
        <f>'[1]23valor'!H27/'[1]23valor'!$AM27</f>
        <v>0.0013548581869514955</v>
      </c>
      <c r="H10" s="38">
        <f>'[1]23valor'!I27/'[1]23valor'!$AM27</f>
        <v>0.24450982640353527</v>
      </c>
      <c r="I10" s="38">
        <f>'[1]23valor'!J27/'[1]23valor'!$AM27</f>
        <v>0.013352926882889972</v>
      </c>
      <c r="J10" s="38">
        <f>'[1]23valor'!K27/'[1]23valor'!$AM27</f>
        <v>0.0018082307634857304</v>
      </c>
      <c r="K10" s="38">
        <f>'[1]23valor'!L27/'[1]23valor'!$AM27</f>
        <v>0.006146301542203096</v>
      </c>
      <c r="L10" s="38">
        <f>'[1]23valor'!M27/'[1]23valor'!$AM27</f>
        <v>0.0033303424067456793</v>
      </c>
      <c r="M10" s="38">
        <f>'[1]23valor'!N27/'[1]23valor'!$AM27</f>
        <v>0.008826564477259316</v>
      </c>
      <c r="N10" s="38">
        <f>'[1]23valor'!O27/'[1]23valor'!$AM27</f>
        <v>0.005047057128100369</v>
      </c>
      <c r="O10" s="38">
        <f>'[1]23valor'!P27/'[1]23valor'!$AM27</f>
        <v>0.00931465003529153</v>
      </c>
      <c r="P10" s="38">
        <f>'[1]23valor'!Q27/'[1]23valor'!$AM27</f>
        <v>0.00035449317469150155</v>
      </c>
      <c r="Q10" s="38">
        <f>'[1]23valor'!R27/'[1]23valor'!$AM27</f>
        <v>0.002004937658640955</v>
      </c>
      <c r="R10" s="38">
        <f>'[1]23valor'!S27/'[1]23valor'!$AM27</f>
        <v>0.008691920185388358</v>
      </c>
      <c r="S10" s="38">
        <f>'[1]23valor'!T27/'[1]23valor'!$AM27</f>
        <v>0.002141685767572395</v>
      </c>
      <c r="T10" s="38">
        <f>'[1]23valor'!U27/'[1]23valor'!$AM27</f>
        <v>0.008850758373454877</v>
      </c>
      <c r="U10" s="38">
        <f>'[1]23valor'!V27/'[1]23valor'!$AM27</f>
        <v>0</v>
      </c>
      <c r="V10" s="38">
        <f>'[1]23valor'!W27/'[1]23valor'!$AM27</f>
        <v>0.015420979053345437</v>
      </c>
      <c r="W10" s="38">
        <f>'[1]23valor'!X27/'[1]23valor'!$AM27</f>
        <v>0.005427848016047916</v>
      </c>
      <c r="X10" s="38">
        <f>'[1]23valor'!Y27/'[1]23valor'!$AM27</f>
        <v>0.005069147207235447</v>
      </c>
      <c r="Y10" s="38">
        <f>'[1]23valor'!Z27/'[1]23valor'!$AM27</f>
        <v>0.001850307104695404</v>
      </c>
      <c r="Z10" s="38">
        <f>'[1]23valor'!AA27/'[1]23valor'!$AM27</f>
        <v>0.00401513485993312</v>
      </c>
      <c r="AA10" s="40">
        <f>'[1]23valor'!AB27/'[1]23valor'!$AM27</f>
        <v>0.3645367973382507</v>
      </c>
      <c r="AB10" s="38">
        <f>'[1]23valor'!AC27/'[1]23valor'!$AM27</f>
        <v>0.04668370057213305</v>
      </c>
      <c r="AC10" s="38">
        <f>'[1]23valor'!AD27/'[1]23valor'!$AM27</f>
        <v>0</v>
      </c>
      <c r="AD10" s="38">
        <f>'[1]23valor'!AE27/'[1]23valor'!$AM27</f>
        <v>0.00039972524149190083</v>
      </c>
      <c r="AE10" s="38">
        <f>'[1]23valor'!AF27/'[1]23valor'!$AM27</f>
        <v>0.00436331658344317</v>
      </c>
      <c r="AF10" s="38">
        <f>'[1]23valor'!AG27/'[1]23valor'!$AM27</f>
        <v>0.004763041824935071</v>
      </c>
      <c r="AG10" s="38">
        <f>'[1]23valor'!AH27/'[1]23valor'!$AM27</f>
        <v>0.5840164602646811</v>
      </c>
      <c r="AH10" s="38">
        <f>'[1]23valor'!AI27/'[1]23valor'!$AM27</f>
        <v>0.4001049804713181</v>
      </c>
      <c r="AI10" s="38">
        <f>'[1]23valor'!AJ27/'[1]23valor'!$AM27</f>
        <v>0.14528434665435233</v>
      </c>
      <c r="AJ10" s="38">
        <f>'[1]23valor'!AK27/'[1]23valor'!$AM27</f>
        <v>0.03862713313901076</v>
      </c>
      <c r="AK10" s="40">
        <f>'[1]23valor'!AL27/'[1]23valor'!$AM27</f>
        <v>0.6354632026617493</v>
      </c>
      <c r="AL10" s="41">
        <f>'[1]23valor'!AM27/'[1]23valor'!$AM27</f>
        <v>1</v>
      </c>
    </row>
    <row r="11" spans="1:38" ht="15.75" customHeight="1">
      <c r="A11" s="36">
        <v>7</v>
      </c>
      <c r="B11" s="37" t="s">
        <v>63</v>
      </c>
      <c r="C11" s="38">
        <f>'[1]23valor'!D31/'[1]23valor'!$AM31</f>
        <v>0.05059930338611799</v>
      </c>
      <c r="D11" s="38">
        <f>'[1]23valor'!E31/'[1]23valor'!$AM31</f>
        <v>0.008423282703149126</v>
      </c>
      <c r="E11" s="38">
        <f>'[1]23valor'!F31/'[1]23valor'!$AM31</f>
        <v>0.0006003806240798592</v>
      </c>
      <c r="F11" s="38">
        <f>'[1]23valor'!G31/'[1]23valor'!$AM31</f>
        <v>0.008539624403030629</v>
      </c>
      <c r="G11" s="38">
        <f>'[1]23valor'!H31/'[1]23valor'!$AM31</f>
        <v>0.019004632123236023</v>
      </c>
      <c r="H11" s="38">
        <f>'[1]23valor'!I31/'[1]23valor'!$AM31</f>
        <v>0.02701066465582247</v>
      </c>
      <c r="I11" s="38">
        <f>'[1]23valor'!J31/'[1]23valor'!$AM31</f>
        <v>0.15687385543466553</v>
      </c>
      <c r="J11" s="38">
        <f>'[1]23valor'!K31/'[1]23valor'!$AM31</f>
        <v>0.009839491543682</v>
      </c>
      <c r="K11" s="38">
        <f>'[1]23valor'!L31/'[1]23valor'!$AM31</f>
        <v>0.0005888900858199576</v>
      </c>
      <c r="L11" s="38">
        <f>'[1]23valor'!M31/'[1]23valor'!$AM31</f>
        <v>0.0068497971201838485</v>
      </c>
      <c r="M11" s="38">
        <f>'[1]23valor'!N31/'[1]23valor'!$AM31</f>
        <v>0.07803439979891558</v>
      </c>
      <c r="N11" s="38">
        <f>'[1]23valor'!O31/'[1]23valor'!$AM31</f>
        <v>0.026516571510646705</v>
      </c>
      <c r="O11" s="38">
        <f>'[1]23valor'!P31/'[1]23valor'!$AM31</f>
        <v>0.020319580595353513</v>
      </c>
      <c r="P11" s="38">
        <f>'[1]23valor'!Q31/'[1]23valor'!$AM31</f>
        <v>0.0010449208230098028</v>
      </c>
      <c r="Q11" s="38">
        <f>'[1]23valor'!R31/'[1]23valor'!$AM31</f>
        <v>0.01582103486660203</v>
      </c>
      <c r="R11" s="38">
        <f>'[1]23valor'!S31/'[1]23valor'!$AM31</f>
        <v>0.013701748716291429</v>
      </c>
      <c r="S11" s="38">
        <f>'[1]23valor'!T31/'[1]23valor'!$AM31</f>
        <v>0.006395920858917735</v>
      </c>
      <c r="T11" s="38">
        <f>'[1]23valor'!U31/'[1]23valor'!$AM31</f>
        <v>0.0003202987539947575</v>
      </c>
      <c r="U11" s="38">
        <f>'[1]23valor'!V31/'[1]23valor'!$AM31</f>
        <v>0</v>
      </c>
      <c r="V11" s="38">
        <f>'[1]23valor'!W31/'[1]23valor'!$AM31</f>
        <v>0.0024956012783223813</v>
      </c>
      <c r="W11" s="38">
        <f>'[1]23valor'!X31/'[1]23valor'!$AM31</f>
        <v>0.0016704369995331968</v>
      </c>
      <c r="X11" s="38">
        <f>'[1]23valor'!Y31/'[1]23valor'!$AM31</f>
        <v>0.0002463284139466408</v>
      </c>
      <c r="Y11" s="38">
        <f>'[1]23valor'!Z31/'[1]23valor'!$AM31</f>
        <v>0.03361556967934217</v>
      </c>
      <c r="Z11" s="38">
        <f>'[1]23valor'!AA31/'[1]23valor'!$AM31</f>
        <v>0.002084096376889655</v>
      </c>
      <c r="AA11" s="40">
        <f>'[1]23valor'!AB31/'[1]23valor'!$AM31</f>
        <v>0.49059643075155307</v>
      </c>
      <c r="AB11" s="38">
        <f>'[1]23valor'!AC31/'[1]23valor'!$AM31</f>
        <v>0.10177816079571977</v>
      </c>
      <c r="AC11" s="38">
        <f>'[1]23valor'!AD31/'[1]23valor'!$AM31</f>
        <v>0</v>
      </c>
      <c r="AD11" s="38">
        <f>'[1]23valor'!AE31/'[1]23valor'!$AM31</f>
        <v>0</v>
      </c>
      <c r="AE11" s="38">
        <f>'[1]23valor'!AF31/'[1]23valor'!$AM31</f>
        <v>0.00524614887428633</v>
      </c>
      <c r="AF11" s="38">
        <f>'[1]23valor'!AG31/'[1]23valor'!$AM31</f>
        <v>0.00524614887428633</v>
      </c>
      <c r="AG11" s="38">
        <f>'[1]23valor'!AH31/'[1]23valor'!$AM31</f>
        <v>0.4023792595784409</v>
      </c>
      <c r="AH11" s="38">
        <f>'[1]23valor'!AI31/'[1]23valor'!$AM31</f>
        <v>0.3108994936981579</v>
      </c>
      <c r="AI11" s="38">
        <f>'[1]23valor'!AJ31/'[1]23valor'!$AM31</f>
        <v>0.07395166792344429</v>
      </c>
      <c r="AJ11" s="38">
        <f>'[1]23valor'!AK31/'[1]23valor'!$AM31</f>
        <v>0.017528097956838663</v>
      </c>
      <c r="AK11" s="40">
        <f>'[1]23valor'!AL31/'[1]23valor'!$AM31</f>
        <v>0.509403569248447</v>
      </c>
      <c r="AL11" s="41">
        <f>'[1]23valor'!AM31/'[1]23valor'!$AM31</f>
        <v>1</v>
      </c>
    </row>
    <row r="12" spans="1:38" ht="15.75" customHeight="1">
      <c r="A12" s="36">
        <v>8</v>
      </c>
      <c r="B12" s="37" t="s">
        <v>64</v>
      </c>
      <c r="C12" s="38">
        <f>'[1]23valor'!D35/'[1]23valor'!$AM35</f>
        <v>0.00018903591682419658</v>
      </c>
      <c r="D12" s="38">
        <f>'[1]23valor'!E35/'[1]23valor'!$AM35</f>
        <v>0.018124359658869535</v>
      </c>
      <c r="E12" s="38">
        <f>'[1]23valor'!F35/'[1]23valor'!$AM35</f>
        <v>0.006095326050880965</v>
      </c>
      <c r="F12" s="38">
        <f>'[1]23valor'!G35/'[1]23valor'!$AM35</f>
        <v>0.011796707023189367</v>
      </c>
      <c r="G12" s="38">
        <f>'[1]23valor'!H35/'[1]23valor'!$AM35</f>
        <v>0</v>
      </c>
      <c r="H12" s="38">
        <f>'[1]23valor'!I35/'[1]23valor'!$AM35</f>
        <v>0</v>
      </c>
      <c r="I12" s="38">
        <f>'[1]23valor'!J35/'[1]23valor'!$AM35</f>
        <v>0.01052540440699</v>
      </c>
      <c r="J12" s="38">
        <f>'[1]23valor'!K35/'[1]23valor'!$AM35</f>
        <v>0.13084748697672405</v>
      </c>
      <c r="K12" s="38">
        <f>'[1]23valor'!L35/'[1]23valor'!$AM35</f>
        <v>0.0047143537424782465</v>
      </c>
      <c r="L12" s="38">
        <f>'[1]23valor'!M35/'[1]23valor'!$AM35</f>
        <v>0.0010519632317926666</v>
      </c>
      <c r="M12" s="38">
        <f>'[1]23valor'!N35/'[1]23valor'!$AM35</f>
        <v>0.00826418851642881</v>
      </c>
      <c r="N12" s="38">
        <f>'[1]23valor'!O35/'[1]23valor'!$AM35</f>
        <v>0.030226987402415615</v>
      </c>
      <c r="O12" s="38">
        <f>'[1]23valor'!P35/'[1]23valor'!$AM35</f>
        <v>0.0021183566862436687</v>
      </c>
      <c r="P12" s="38">
        <f>'[1]23valor'!Q35/'[1]23valor'!$AM35</f>
        <v>0.004096740212701482</v>
      </c>
      <c r="Q12" s="38">
        <f>'[1]23valor'!R35/'[1]23valor'!$AM35</f>
        <v>0.3249065643082873</v>
      </c>
      <c r="R12" s="38">
        <f>'[1]23valor'!S35/'[1]23valor'!$AM35</f>
        <v>0.0037937055368764336</v>
      </c>
      <c r="S12" s="38">
        <f>'[1]23valor'!T35/'[1]23valor'!$AM35</f>
        <v>0.000279946319571711</v>
      </c>
      <c r="T12" s="38">
        <f>'[1]23valor'!U35/'[1]23valor'!$AM35</f>
        <v>1.0101155860834932E-05</v>
      </c>
      <c r="U12" s="38">
        <f>'[1]23valor'!V35/'[1]23valor'!$AM35</f>
        <v>0</v>
      </c>
      <c r="V12" s="38">
        <f>'[1]23valor'!W35/'[1]23valor'!$AM35</f>
        <v>0.0003838439227117275</v>
      </c>
      <c r="W12" s="38">
        <f>'[1]23valor'!X35/'[1]23valor'!$AM35</f>
        <v>0.00045599503600340555</v>
      </c>
      <c r="X12" s="38">
        <f>'[1]23valor'!Y35/'[1]23valor'!$AM35</f>
        <v>1.4430222658335617E-05</v>
      </c>
      <c r="Y12" s="38">
        <f>'[1]23valor'!Z35/'[1]23valor'!$AM35</f>
        <v>0.0011024690110968413</v>
      </c>
      <c r="Z12" s="38">
        <f>'[1]23valor'!AA35/'[1]23valor'!$AM35</f>
        <v>9.81255140766822E-05</v>
      </c>
      <c r="AA12" s="40">
        <f>'[1]23valor'!AB35/'[1]23valor'!$AM35</f>
        <v>0.5590960908526819</v>
      </c>
      <c r="AB12" s="38">
        <f>'[1]23valor'!AC35/'[1]23valor'!$AM35</f>
        <v>0.011440280523528478</v>
      </c>
      <c r="AC12" s="38">
        <f>'[1]23valor'!AD35/'[1]23valor'!$AM35</f>
        <v>0</v>
      </c>
      <c r="AD12" s="38">
        <f>'[1]23valor'!AE35/'[1]23valor'!$AM35</f>
        <v>0</v>
      </c>
      <c r="AE12" s="38">
        <f>'[1]23valor'!AF35/'[1]23valor'!$AM35</f>
        <v>0.0002640730746475418</v>
      </c>
      <c r="AF12" s="38">
        <f>'[1]23valor'!AG35/'[1]23valor'!$AM35</f>
        <v>0.0002640730746475418</v>
      </c>
      <c r="AG12" s="38">
        <f>'[1]23valor'!AH35/'[1]23valor'!$AM35</f>
        <v>0.4291995555491421</v>
      </c>
      <c r="AH12" s="38">
        <f>'[1]23valor'!AI35/'[1]23valor'!$AM35</f>
        <v>0.3445287810790921</v>
      </c>
      <c r="AI12" s="38">
        <f>'[1]23valor'!AJ35/'[1]23valor'!$AM35</f>
        <v>0.07125499646459545</v>
      </c>
      <c r="AJ12" s="38">
        <f>'[1]23valor'!AK35/'[1]23valor'!$AM35</f>
        <v>0.013415778005454624</v>
      </c>
      <c r="AK12" s="40">
        <f>'[1]23valor'!AL35/'[1]23valor'!$AM35</f>
        <v>0.44090390914731814</v>
      </c>
      <c r="AL12" s="41">
        <f>'[1]23valor'!AM35/'[1]23valor'!$AM35</f>
        <v>1</v>
      </c>
    </row>
    <row r="13" spans="1:38" ht="15.75" customHeight="1">
      <c r="A13" s="36">
        <v>9</v>
      </c>
      <c r="B13" s="37" t="s">
        <v>32</v>
      </c>
      <c r="C13" s="38">
        <f>'[1]23valor'!D39/'[1]23valor'!$AM39</f>
        <v>0</v>
      </c>
      <c r="D13" s="38">
        <f>'[1]23valor'!E39/'[1]23valor'!$AM39</f>
        <v>0</v>
      </c>
      <c r="E13" s="38">
        <f>'[1]23valor'!F39/'[1]23valor'!$AM39</f>
        <v>0</v>
      </c>
      <c r="F13" s="38">
        <f>'[1]23valor'!G39/'[1]23valor'!$AM39</f>
        <v>0</v>
      </c>
      <c r="G13" s="38">
        <f>'[1]23valor'!H39/'[1]23valor'!$AM39</f>
        <v>0</v>
      </c>
      <c r="H13" s="38">
        <f>'[1]23valor'!I39/'[1]23valor'!$AM39</f>
        <v>0.00011021574383070862</v>
      </c>
      <c r="I13" s="38">
        <f>'[1]23valor'!J39/'[1]23valor'!$AM39</f>
        <v>0.0014783791123958764</v>
      </c>
      <c r="J13" s="38">
        <f>'[1]23valor'!K39/'[1]23valor'!$AM39</f>
        <v>0.006387862688854909</v>
      </c>
      <c r="K13" s="38">
        <f>'[1]23valor'!L39/'[1]23valor'!$AM39</f>
        <v>0.29122115323801767</v>
      </c>
      <c r="L13" s="38">
        <f>'[1]23valor'!M39/'[1]23valor'!$AM39</f>
        <v>0.06382096126730434</v>
      </c>
      <c r="M13" s="38">
        <f>'[1]23valor'!N39/'[1]23valor'!$AM39</f>
        <v>0.11865306130041557</v>
      </c>
      <c r="N13" s="38">
        <f>'[1]23valor'!O39/'[1]23valor'!$AM39</f>
        <v>0.042448407870799246</v>
      </c>
      <c r="O13" s="38">
        <f>'[1]23valor'!P39/'[1]23valor'!$AM39</f>
        <v>0.011432674457106079</v>
      </c>
      <c r="P13" s="38">
        <f>'[1]23valor'!Q39/'[1]23valor'!$AM39</f>
        <v>7.487229855166283E-05</v>
      </c>
      <c r="Q13" s="38">
        <f>'[1]23valor'!R39/'[1]23valor'!$AM39</f>
        <v>0.034645412234784644</v>
      </c>
      <c r="R13" s="38">
        <f>'[1]23valor'!S39/'[1]23valor'!$AM39</f>
        <v>0</v>
      </c>
      <c r="S13" s="38">
        <f>'[1]23valor'!T39/'[1]23valor'!$AM39</f>
        <v>0.0001413737811161832</v>
      </c>
      <c r="T13" s="38">
        <f>'[1]23valor'!U39/'[1]23valor'!$AM39</f>
        <v>0</v>
      </c>
      <c r="U13" s="38">
        <f>'[1]23valor'!V39/'[1]23valor'!$AM39</f>
        <v>0</v>
      </c>
      <c r="V13" s="38">
        <f>'[1]23valor'!W39/'[1]23valor'!$AM39</f>
        <v>0</v>
      </c>
      <c r="W13" s="38">
        <f>'[1]23valor'!X39/'[1]23valor'!$AM39</f>
        <v>0.00010184492784356619</v>
      </c>
      <c r="X13" s="38">
        <f>'[1]23valor'!Y39/'[1]23valor'!$AM39</f>
        <v>0</v>
      </c>
      <c r="Y13" s="38">
        <f>'[1]23valor'!Z39/'[1]23valor'!$AM39</f>
        <v>0</v>
      </c>
      <c r="Z13" s="38">
        <f>'[1]23valor'!AA39/'[1]23valor'!$AM39</f>
        <v>0</v>
      </c>
      <c r="AA13" s="40">
        <f>'[1]23valor'!AB39/'[1]23valor'!$AM39</f>
        <v>0.5705162189210204</v>
      </c>
      <c r="AB13" s="38">
        <f>'[1]23valor'!AC39/'[1]23valor'!$AM39</f>
        <v>0</v>
      </c>
      <c r="AC13" s="38">
        <f>'[1]23valor'!AD39/'[1]23valor'!$AM39</f>
        <v>0</v>
      </c>
      <c r="AD13" s="38">
        <f>'[1]23valor'!AE39/'[1]23valor'!$AM39</f>
        <v>0</v>
      </c>
      <c r="AE13" s="38">
        <f>'[1]23valor'!AF39/'[1]23valor'!$AM39</f>
        <v>0.05051508421040883</v>
      </c>
      <c r="AF13" s="38">
        <f>'[1]23valor'!AG39/'[1]23valor'!$AM39</f>
        <v>0.05051508421040883</v>
      </c>
      <c r="AG13" s="38">
        <f>'[1]23valor'!AH39/'[1]23valor'!$AM39</f>
        <v>0.37896869686857076</v>
      </c>
      <c r="AH13" s="38">
        <f>'[1]23valor'!AI39/'[1]23valor'!$AM39</f>
        <v>0.30611609019647235</v>
      </c>
      <c r="AI13" s="38">
        <f>'[1]23valor'!AJ39/'[1]23valor'!$AM39</f>
        <v>0.05881753853365627</v>
      </c>
      <c r="AJ13" s="38">
        <f>'[1]23valor'!AK39/'[1]23valor'!$AM39</f>
        <v>0.014035068138442136</v>
      </c>
      <c r="AK13" s="40">
        <f>'[1]23valor'!AL39/'[1]23valor'!$AM39</f>
        <v>0.4294837810789796</v>
      </c>
      <c r="AL13" s="41">
        <f>'[1]23valor'!AM39/'[1]23valor'!$AM39</f>
        <v>1</v>
      </c>
    </row>
    <row r="14" spans="1:38" ht="15.75" customHeight="1">
      <c r="A14" s="36">
        <v>10</v>
      </c>
      <c r="B14" s="37" t="s">
        <v>65</v>
      </c>
      <c r="C14" s="38">
        <f>'[1]23valor'!D43/'[1]23valor'!$AM43</f>
        <v>0.00020838768381066308</v>
      </c>
      <c r="D14" s="38">
        <f>'[1]23valor'!E43/'[1]23valor'!$AM43</f>
        <v>0.005069706475607506</v>
      </c>
      <c r="E14" s="38">
        <f>'[1]23valor'!F43/'[1]23valor'!$AM43</f>
        <v>0.00797122659217735</v>
      </c>
      <c r="F14" s="38">
        <f>'[1]23valor'!G43/'[1]23valor'!$AM43</f>
        <v>0.012057852238815468</v>
      </c>
      <c r="G14" s="38">
        <f>'[1]23valor'!H43/'[1]23valor'!$AM43</f>
        <v>0.0005042663799082458</v>
      </c>
      <c r="H14" s="38">
        <f>'[1]23valor'!I43/'[1]23valor'!$AM43</f>
        <v>0.0007858283649043326</v>
      </c>
      <c r="I14" s="38">
        <f>'[1]23valor'!J43/'[1]23valor'!$AM43</f>
        <v>0.001552567781673337</v>
      </c>
      <c r="J14" s="38">
        <f>'[1]23valor'!K43/'[1]23valor'!$AM43</f>
        <v>0.0005853944094833894</v>
      </c>
      <c r="K14" s="38">
        <f>'[1]23valor'!L43/'[1]23valor'!$AM43</f>
        <v>0.0019550264381931674</v>
      </c>
      <c r="L14" s="38">
        <f>'[1]23valor'!M43/'[1]23valor'!$AM43</f>
        <v>0.030601174606608595</v>
      </c>
      <c r="M14" s="38">
        <f>'[1]23valor'!N43/'[1]23valor'!$AM43</f>
        <v>0.05280798427070674</v>
      </c>
      <c r="N14" s="38">
        <f>'[1]23valor'!O43/'[1]23valor'!$AM43</f>
        <v>0.048563874801952164</v>
      </c>
      <c r="O14" s="38">
        <f>'[1]23valor'!P43/'[1]23valor'!$AM43</f>
        <v>0.012363275408980716</v>
      </c>
      <c r="P14" s="38">
        <f>'[1]23valor'!Q43/'[1]23valor'!$AM43</f>
        <v>0.001993204334463823</v>
      </c>
      <c r="Q14" s="38">
        <f>'[1]23valor'!R43/'[1]23valor'!$AM43</f>
        <v>0.118069916454037</v>
      </c>
      <c r="R14" s="38">
        <f>'[1]23valor'!S43/'[1]23valor'!$AM43</f>
        <v>0.0007444689772777887</v>
      </c>
      <c r="S14" s="38">
        <f>'[1]23valor'!T43/'[1]23valor'!$AM43</f>
        <v>0.00040245865651983027</v>
      </c>
      <c r="T14" s="38">
        <f>'[1]23valor'!U43/'[1]23valor'!$AM43</f>
        <v>0</v>
      </c>
      <c r="U14" s="38">
        <f>'[1]23valor'!V43/'[1]23valor'!$AM43</f>
        <v>0</v>
      </c>
      <c r="V14" s="38">
        <f>'[1]23valor'!W43/'[1]23valor'!$AM43</f>
        <v>0.0001590745677943993</v>
      </c>
      <c r="W14" s="38">
        <f>'[1]23valor'!X43/'[1]23valor'!$AM43</f>
        <v>0.0014094006706583777</v>
      </c>
      <c r="X14" s="38">
        <f>'[1]23valor'!Y43/'[1]23valor'!$AM43</f>
        <v>0.00010657996042224753</v>
      </c>
      <c r="Y14" s="38">
        <f>'[1]23valor'!Z43/'[1]23valor'!$AM43</f>
        <v>0.0012932762361684664</v>
      </c>
      <c r="Z14" s="38">
        <f>'[1]23valor'!AA43/'[1]23valor'!$AM43</f>
        <v>9.226324932075159E-05</v>
      </c>
      <c r="AA14" s="40">
        <f>'[1]23valor'!AB43/'[1]23valor'!$AM43</f>
        <v>0.2992972085594844</v>
      </c>
      <c r="AB14" s="38">
        <f>'[1]23valor'!AC43/'[1]23valor'!$AM43</f>
        <v>0.026940868801659464</v>
      </c>
      <c r="AC14" s="38">
        <f>'[1]23valor'!AD43/'[1]23valor'!$AM43</f>
        <v>0</v>
      </c>
      <c r="AD14" s="38">
        <f>'[1]23valor'!AE43/'[1]23valor'!$AM43</f>
        <v>0.1467256090965201</v>
      </c>
      <c r="AE14" s="38">
        <f>'[1]23valor'!AF43/'[1]23valor'!$AM43</f>
        <v>0.01791020558797142</v>
      </c>
      <c r="AF14" s="38">
        <f>'[1]23valor'!AG43/'[1]23valor'!$AM43</f>
        <v>0.1646358146844915</v>
      </c>
      <c r="AG14" s="38">
        <f>'[1]23valor'!AH43/'[1]23valor'!$AM43</f>
        <v>0.5091261079543647</v>
      </c>
      <c r="AH14" s="38">
        <f>'[1]23valor'!AI43/'[1]23valor'!$AM43</f>
        <v>0.42217435845226814</v>
      </c>
      <c r="AI14" s="38">
        <f>'[1]23valor'!AJ43/'[1]23valor'!$AM43</f>
        <v>0.05645079187319848</v>
      </c>
      <c r="AJ14" s="38">
        <f>'[1]23valor'!AK43/'[1]23valor'!$AM43</f>
        <v>0.030500957628898123</v>
      </c>
      <c r="AK14" s="40">
        <f>'[1]23valor'!AL43/'[1]23valor'!$AM43</f>
        <v>0.7007027914405156</v>
      </c>
      <c r="AL14" s="41">
        <f>'[1]23valor'!AM43/'[1]23valor'!$AM43</f>
        <v>1</v>
      </c>
    </row>
    <row r="15" spans="1:38" ht="15.75" customHeight="1">
      <c r="A15" s="36">
        <v>11</v>
      </c>
      <c r="B15" s="37" t="s">
        <v>66</v>
      </c>
      <c r="C15" s="38">
        <f>'[1]23valor'!D47/'[1]23valor'!$AM47</f>
        <v>0.01230849154936366</v>
      </c>
      <c r="D15" s="38">
        <f>'[1]23valor'!E47/'[1]23valor'!$AM47</f>
        <v>0.004036481759672048</v>
      </c>
      <c r="E15" s="38">
        <f>'[1]23valor'!F47/'[1]23valor'!$AM47</f>
        <v>0.001815331419398586</v>
      </c>
      <c r="F15" s="38">
        <f>'[1]23valor'!G47/'[1]23valor'!$AM47</f>
        <v>0.0010938346797470606</v>
      </c>
      <c r="G15" s="38">
        <f>'[1]23valor'!H47/'[1]23valor'!$AM47</f>
        <v>0.0007524022603709179</v>
      </c>
      <c r="H15" s="38">
        <f>'[1]23valor'!I47/'[1]23valor'!$AM47</f>
        <v>0.004174452834312192</v>
      </c>
      <c r="I15" s="38">
        <f>'[1]23valor'!J47/'[1]23valor'!$AM47</f>
        <v>0.003674445659816311</v>
      </c>
      <c r="J15" s="38">
        <f>'[1]23valor'!K47/'[1]23valor'!$AM47</f>
        <v>0.009757314398550973</v>
      </c>
      <c r="K15" s="38">
        <f>'[1]23valor'!L47/'[1]23valor'!$AM47</f>
        <v>0.017552864077151956</v>
      </c>
      <c r="L15" s="38">
        <f>'[1]23valor'!M47/'[1]23valor'!$AM47</f>
        <v>0.0031630328764835113</v>
      </c>
      <c r="M15" s="38">
        <f>'[1]23valor'!N47/'[1]23valor'!$AM47</f>
        <v>0.13517265332357603</v>
      </c>
      <c r="N15" s="38">
        <f>'[1]23valor'!O47/'[1]23valor'!$AM47</f>
        <v>0.047792444409614415</v>
      </c>
      <c r="O15" s="38">
        <f>'[1]23valor'!P47/'[1]23valor'!$AM47</f>
        <v>0.0017667656011252555</v>
      </c>
      <c r="P15" s="38">
        <f>'[1]23valor'!Q47/'[1]23valor'!$AM47</f>
        <v>0.0017123130170006119</v>
      </c>
      <c r="Q15" s="38">
        <f>'[1]23valor'!R47/'[1]23valor'!$AM47</f>
        <v>0.053396277577198496</v>
      </c>
      <c r="R15" s="38">
        <f>'[1]23valor'!S47/'[1]23valor'!$AM47</f>
        <v>0.009886823247279854</v>
      </c>
      <c r="S15" s="38">
        <f>'[1]23valor'!T47/'[1]23valor'!$AM47</f>
        <v>0.0014945026805020382</v>
      </c>
      <c r="T15" s="38">
        <f>'[1]23valor'!U47/'[1]23valor'!$AM47</f>
        <v>0.001778539132827881</v>
      </c>
      <c r="U15" s="38">
        <f>'[1]23valor'!V47/'[1]23valor'!$AM47</f>
        <v>0</v>
      </c>
      <c r="V15" s="38">
        <f>'[1]23valor'!W47/'[1]23valor'!$AM47</f>
        <v>0.00519507086378355</v>
      </c>
      <c r="W15" s="38">
        <f>'[1]23valor'!X47/'[1]23valor'!$AM47</f>
        <v>9.014110209822732E-05</v>
      </c>
      <c r="X15" s="38">
        <f>'[1]23valor'!Y47/'[1]23valor'!$AM47</f>
        <v>0.00017660297553938412</v>
      </c>
      <c r="Y15" s="38">
        <f>'[1]23valor'!Z47/'[1]23valor'!$AM47</f>
        <v>0.003116674595404423</v>
      </c>
      <c r="Z15" s="38">
        <f>'[1]23valor'!AA47/'[1]23valor'!$AM47</f>
        <v>0.0037708414506315586</v>
      </c>
      <c r="AA15" s="40">
        <f>'[1]23valor'!AB47/'[1]23valor'!$AM47</f>
        <v>0.32367830149144894</v>
      </c>
      <c r="AB15" s="38">
        <f>'[1]23valor'!AC47/'[1]23valor'!$AM47</f>
        <v>0.03218920359784412</v>
      </c>
      <c r="AC15" s="38">
        <f>'[1]23valor'!AD47/'[1]23valor'!$AM47</f>
        <v>0</v>
      </c>
      <c r="AD15" s="38">
        <f>'[1]23valor'!AE47/'[1]23valor'!$AM47</f>
        <v>0.18405083810989195</v>
      </c>
      <c r="AE15" s="38">
        <f>'[1]23valor'!AF47/'[1]23valor'!$AM47</f>
        <v>0.007696210504860078</v>
      </c>
      <c r="AF15" s="38">
        <f>'[1]23valor'!AG47/'[1]23valor'!$AM47</f>
        <v>0.19174704861475203</v>
      </c>
      <c r="AG15" s="38">
        <f>'[1]23valor'!AH47/'[1]23valor'!$AM47</f>
        <v>0.452385446295955</v>
      </c>
      <c r="AH15" s="38">
        <f>'[1]23valor'!AI47/'[1]23valor'!$AM47</f>
        <v>0.23388672611564332</v>
      </c>
      <c r="AI15" s="38">
        <f>'[1]23valor'!AJ47/'[1]23valor'!$AM47</f>
        <v>0.1763145240126698</v>
      </c>
      <c r="AJ15" s="38">
        <f>'[1]23valor'!AK47/'[1]23valor'!$AM47</f>
        <v>0.04218419616764185</v>
      </c>
      <c r="AK15" s="40">
        <f>'[1]23valor'!AL47/'[1]23valor'!$AM47</f>
        <v>0.6763216985085512</v>
      </c>
      <c r="AL15" s="41">
        <f>'[1]23valor'!AM47/'[1]23valor'!$AM47</f>
        <v>1</v>
      </c>
    </row>
    <row r="16" spans="1:38" ht="15.75" customHeight="1">
      <c r="A16" s="36">
        <v>12</v>
      </c>
      <c r="B16" s="37" t="s">
        <v>35</v>
      </c>
      <c r="C16" s="38">
        <f>'[1]23valor'!D51/'[1]23valor'!$AM51</f>
        <v>0</v>
      </c>
      <c r="D16" s="38">
        <f>'[1]23valor'!E51/'[1]23valor'!$AM51</f>
        <v>0</v>
      </c>
      <c r="E16" s="38">
        <f>'[1]23valor'!F51/'[1]23valor'!$AM51</f>
        <v>0</v>
      </c>
      <c r="F16" s="38">
        <f>'[1]23valor'!G51/'[1]23valor'!$AM51</f>
        <v>0</v>
      </c>
      <c r="G16" s="38">
        <f>'[1]23valor'!H51/'[1]23valor'!$AM51</f>
        <v>0</v>
      </c>
      <c r="H16" s="38">
        <f>'[1]23valor'!I51/'[1]23valor'!$AM51</f>
        <v>0</v>
      </c>
      <c r="I16" s="38">
        <f>'[1]23valor'!J51/'[1]23valor'!$AM51</f>
        <v>0</v>
      </c>
      <c r="J16" s="38">
        <f>'[1]23valor'!K51/'[1]23valor'!$AM51</f>
        <v>0</v>
      </c>
      <c r="K16" s="38">
        <f>'[1]23valor'!L51/'[1]23valor'!$AM51</f>
        <v>0</v>
      </c>
      <c r="L16" s="38">
        <f>'[1]23valor'!M51/'[1]23valor'!$AM51</f>
        <v>0</v>
      </c>
      <c r="M16" s="38">
        <f>'[1]23valor'!N51/'[1]23valor'!$AM51</f>
        <v>0</v>
      </c>
      <c r="N16" s="38">
        <f>'[1]23valor'!O51/'[1]23valor'!$AM51</f>
        <v>0.3346622123186403</v>
      </c>
      <c r="O16" s="38">
        <f>'[1]23valor'!P51/'[1]23valor'!$AM51</f>
        <v>0</v>
      </c>
      <c r="P16" s="38">
        <f>'[1]23valor'!Q51/'[1]23valor'!$AM51</f>
        <v>0</v>
      </c>
      <c r="Q16" s="38">
        <f>'[1]23valor'!R51/'[1]23valor'!$AM51</f>
        <v>0</v>
      </c>
      <c r="R16" s="38">
        <f>'[1]23valor'!S51/'[1]23valor'!$AM51</f>
        <v>0.005898117315791226</v>
      </c>
      <c r="S16" s="38">
        <f>'[1]23valor'!T51/'[1]23valor'!$AM51</f>
        <v>0.0021868775124472043</v>
      </c>
      <c r="T16" s="38">
        <f>'[1]23valor'!U51/'[1]23valor'!$AM51</f>
        <v>0</v>
      </c>
      <c r="U16" s="38">
        <f>'[1]23valor'!V51/'[1]23valor'!$AM51</f>
        <v>0</v>
      </c>
      <c r="V16" s="38">
        <f>'[1]23valor'!W51/'[1]23valor'!$AM51</f>
        <v>0.00010968345287584579</v>
      </c>
      <c r="W16" s="38">
        <f>'[1]23valor'!X51/'[1]23valor'!$AM51</f>
        <v>0.00010594810308750431</v>
      </c>
      <c r="X16" s="38">
        <f>'[1]23valor'!Y51/'[1]23valor'!$AM51</f>
        <v>7.131122323197406E-06</v>
      </c>
      <c r="Y16" s="38">
        <f>'[1]23valor'!Z51/'[1]23valor'!$AM51</f>
        <v>0</v>
      </c>
      <c r="Z16" s="38">
        <f>'[1]23valor'!AA51/'[1]23valor'!$AM51</f>
        <v>2.5128716757933717E-05</v>
      </c>
      <c r="AA16" s="40">
        <f>'[1]23valor'!AB51/'[1]23valor'!$AM51</f>
        <v>0.3429950985419232</v>
      </c>
      <c r="AB16" s="38">
        <f>'[1]23valor'!AC51/'[1]23valor'!$AM51</f>
        <v>0.06945033988287301</v>
      </c>
      <c r="AC16" s="38">
        <f>'[1]23valor'!AD51/'[1]23valor'!$AM51</f>
        <v>0</v>
      </c>
      <c r="AD16" s="38">
        <f>'[1]23valor'!AE51/'[1]23valor'!$AM51</f>
        <v>0.0360498608072838</v>
      </c>
      <c r="AE16" s="38">
        <f>'[1]23valor'!AF51/'[1]23valor'!$AM51</f>
        <v>0.004146577842312548</v>
      </c>
      <c r="AF16" s="38">
        <f>'[1]23valor'!AG51/'[1]23valor'!$AM51</f>
        <v>0.04019643864959635</v>
      </c>
      <c r="AG16" s="38">
        <f>'[1]23valor'!AH51/'[1]23valor'!$AM51</f>
        <v>0.5473581229256075</v>
      </c>
      <c r="AH16" s="38">
        <f>'[1]23valor'!AI51/'[1]23valor'!$AM51</f>
        <v>0.0519526031652675</v>
      </c>
      <c r="AI16" s="38">
        <f>'[1]23valor'!AJ51/'[1]23valor'!$AM51</f>
        <v>0.4465641233915074</v>
      </c>
      <c r="AJ16" s="38">
        <f>'[1]23valor'!AK51/'[1]23valor'!$AM51</f>
        <v>0.048841396368832515</v>
      </c>
      <c r="AK16" s="40">
        <f>'[1]23valor'!AL51/'[1]23valor'!$AM51</f>
        <v>0.6570049014580768</v>
      </c>
      <c r="AL16" s="41">
        <f>'[1]23valor'!AM51/'[1]23valor'!$AM51</f>
        <v>1</v>
      </c>
    </row>
    <row r="17" spans="1:38" ht="15.75" customHeight="1">
      <c r="A17" s="36">
        <v>13</v>
      </c>
      <c r="B17" s="37" t="s">
        <v>67</v>
      </c>
      <c r="C17" s="38">
        <f>'[1]23valor'!D55/'[1]23valor'!$AM55</f>
        <v>0.00015984044246097702</v>
      </c>
      <c r="D17" s="38">
        <f>'[1]23valor'!E55/'[1]23valor'!$AM55</f>
        <v>0.004382174254372626</v>
      </c>
      <c r="E17" s="38">
        <f>'[1]23valor'!F55/'[1]23valor'!$AM55</f>
        <v>0.0003988938475574824</v>
      </c>
      <c r="F17" s="38">
        <f>'[1]23valor'!G55/'[1]23valor'!$AM55</f>
        <v>0.0019619353424192485</v>
      </c>
      <c r="G17" s="38">
        <f>'[1]23valor'!H55/'[1]23valor'!$AM55</f>
        <v>0.00043708581168532646</v>
      </c>
      <c r="H17" s="38">
        <f>'[1]23valor'!I55/'[1]23valor'!$AM55</f>
        <v>0.003694718900071433</v>
      </c>
      <c r="I17" s="38">
        <f>'[1]23valor'!J55/'[1]23valor'!$AM55</f>
        <v>0</v>
      </c>
      <c r="J17" s="38">
        <f>'[1]23valor'!K55/'[1]23valor'!$AM55</f>
        <v>0.0004837648789526915</v>
      </c>
      <c r="K17" s="38">
        <f>'[1]23valor'!L55/'[1]23valor'!$AM55</f>
        <v>0.03536858781676344</v>
      </c>
      <c r="L17" s="38">
        <f>'[1]23valor'!M55/'[1]23valor'!$AM55</f>
        <v>0.0008586119342815314</v>
      </c>
      <c r="M17" s="38">
        <f>'[1]23valor'!N55/'[1]23valor'!$AM55</f>
        <v>0.005840541477180301</v>
      </c>
      <c r="N17" s="38">
        <f>'[1]23valor'!O55/'[1]23valor'!$AM55</f>
        <v>0.05949176397366169</v>
      </c>
      <c r="O17" s="38">
        <f>'[1]23valor'!P55/'[1]23valor'!$AM55</f>
        <v>0.16346585001874234</v>
      </c>
      <c r="P17" s="38">
        <f>'[1]23valor'!Q55/'[1]23valor'!$AM55</f>
        <v>0.00010891782362385159</v>
      </c>
      <c r="Q17" s="38">
        <f>'[1]23valor'!R55/'[1]23valor'!$AM55</f>
        <v>0.029900064360532143</v>
      </c>
      <c r="R17" s="38">
        <f>'[1]23valor'!S55/'[1]23valor'!$AM55</f>
        <v>0.0015913318386601694</v>
      </c>
      <c r="S17" s="38">
        <f>'[1]23valor'!T55/'[1]23valor'!$AM55</f>
        <v>0.0005262003946502961</v>
      </c>
      <c r="T17" s="38">
        <f>'[1]23valor'!U55/'[1]23valor'!$AM55</f>
        <v>0.0008274925561032881</v>
      </c>
      <c r="U17" s="38">
        <f>'[1]23valor'!V55/'[1]23valor'!$AM55</f>
        <v>0</v>
      </c>
      <c r="V17" s="38">
        <f>'[1]23valor'!W55/'[1]23valor'!$AM55</f>
        <v>0.0007581812137972007</v>
      </c>
      <c r="W17" s="38">
        <f>'[1]23valor'!X55/'[1]23valor'!$AM55</f>
        <v>0.0019873966518378114</v>
      </c>
      <c r="X17" s="38">
        <f>'[1]23valor'!Y55/'[1]23valor'!$AM55</f>
        <v>3.253389536816346E-05</v>
      </c>
      <c r="Y17" s="38">
        <f>'[1]23valor'!Z55/'[1]23valor'!$AM55</f>
        <v>0.0019972982721672525</v>
      </c>
      <c r="Z17" s="38">
        <f>'[1]23valor'!AA55/'[1]23valor'!$AM55</f>
        <v>0.0018813078625938002</v>
      </c>
      <c r="AA17" s="40">
        <f>'[1]23valor'!AB55/'[1]23valor'!$AM55</f>
        <v>0.3161544935674831</v>
      </c>
      <c r="AB17" s="38">
        <f>'[1]23valor'!AC55/'[1]23valor'!$AM55</f>
        <v>0.16116867410231203</v>
      </c>
      <c r="AC17" s="38">
        <f>'[1]23valor'!AD55/'[1]23valor'!$AM55</f>
        <v>0</v>
      </c>
      <c r="AD17" s="38">
        <f>'[1]23valor'!AE55/'[1]23valor'!$AM55</f>
        <v>0.06764645557355135</v>
      </c>
      <c r="AE17" s="38">
        <f>'[1]23valor'!AF55/'[1]23valor'!$AM55</f>
        <v>0.007263545770239973</v>
      </c>
      <c r="AF17" s="38">
        <f>'[1]23valor'!AG55/'[1]23valor'!$AM55</f>
        <v>0.07491000134379133</v>
      </c>
      <c r="AG17" s="38">
        <f>'[1]23valor'!AH55/'[1]23valor'!$AM55</f>
        <v>0.44776683098641357</v>
      </c>
      <c r="AH17" s="38">
        <f>'[1]23valor'!AI55/'[1]23valor'!$AM55</f>
        <v>0.3383312940710512</v>
      </c>
      <c r="AI17" s="38">
        <f>'[1]23valor'!AJ55/'[1]23valor'!$AM55</f>
        <v>0.0876972367406695</v>
      </c>
      <c r="AJ17" s="38">
        <f>'[1]23valor'!AK55/'[1]23valor'!$AM55</f>
        <v>0.021738300174692873</v>
      </c>
      <c r="AK17" s="40">
        <f>'[1]23valor'!AL55/'[1]23valor'!$AM55</f>
        <v>0.683845506432517</v>
      </c>
      <c r="AL17" s="41">
        <f>'[1]23valor'!AM55/'[1]23valor'!$AM55</f>
        <v>1</v>
      </c>
    </row>
    <row r="18" spans="1:38" ht="15.75" customHeight="1">
      <c r="A18" s="36">
        <v>14</v>
      </c>
      <c r="B18" s="37" t="s">
        <v>37</v>
      </c>
      <c r="C18" s="38">
        <f>'[1]23valor'!D59/'[1]23valor'!$AM59</f>
        <v>0.03111737370554154</v>
      </c>
      <c r="D18" s="38">
        <f>'[1]23valor'!E59/'[1]23valor'!$AM59</f>
        <v>0.026949533878712892</v>
      </c>
      <c r="E18" s="38">
        <f>'[1]23valor'!F59/'[1]23valor'!$AM59</f>
        <v>0.007755772593773167</v>
      </c>
      <c r="F18" s="38">
        <f>'[1]23valor'!G59/'[1]23valor'!$AM59</f>
        <v>0.004351240277838768</v>
      </c>
      <c r="G18" s="38">
        <f>'[1]23valor'!H59/'[1]23valor'!$AM59</f>
        <v>0.0081716524897257</v>
      </c>
      <c r="H18" s="38">
        <f>'[1]23valor'!I59/'[1]23valor'!$AM59</f>
        <v>0.02841286282937817</v>
      </c>
      <c r="I18" s="38">
        <f>'[1]23valor'!J59/'[1]23valor'!$AM59</f>
        <v>0.07008867799272081</v>
      </c>
      <c r="J18" s="38">
        <f>'[1]23valor'!K59/'[1]23valor'!$AM59</f>
        <v>0.05877984454874449</v>
      </c>
      <c r="K18" s="38">
        <f>'[1]23valor'!L59/'[1]23valor'!$AM59</f>
        <v>0.040541832093012445</v>
      </c>
      <c r="L18" s="38">
        <f>'[1]23valor'!M59/'[1]23valor'!$AM59</f>
        <v>0.008889755664103365</v>
      </c>
      <c r="M18" s="38">
        <f>'[1]23valor'!N59/'[1]23valor'!$AM59</f>
        <v>0.017525075491241986</v>
      </c>
      <c r="N18" s="38">
        <f>'[1]23valor'!O59/'[1]23valor'!$AM59</f>
        <v>0.018230263140900625</v>
      </c>
      <c r="O18" s="38">
        <f>'[1]23valor'!P59/'[1]23valor'!$AM59</f>
        <v>0.008831635802867763</v>
      </c>
      <c r="P18" s="38">
        <f>'[1]23valor'!Q59/'[1]23valor'!$AM59</f>
        <v>0.0012218086384195531</v>
      </c>
      <c r="Q18" s="38">
        <f>'[1]23valor'!R59/'[1]23valor'!$AM59</f>
        <v>0.02083790758167132</v>
      </c>
      <c r="R18" s="38">
        <f>'[1]23valor'!S59/'[1]23valor'!$AM59</f>
        <v>0.0490286233858823</v>
      </c>
      <c r="S18" s="38">
        <f>'[1]23valor'!T59/'[1]23valor'!$AM59</f>
        <v>0.08903962741294291</v>
      </c>
      <c r="T18" s="38">
        <f>'[1]23valor'!U59/'[1]23valor'!$AM59</f>
        <v>0.006599833131420631</v>
      </c>
      <c r="U18" s="38">
        <f>'[1]23valor'!V59/'[1]23valor'!$AM59</f>
        <v>0</v>
      </c>
      <c r="V18" s="38">
        <f>'[1]23valor'!W59/'[1]23valor'!$AM59</f>
        <v>0.05133791920564357</v>
      </c>
      <c r="W18" s="38">
        <f>'[1]23valor'!X59/'[1]23valor'!$AM59</f>
        <v>0.02505870105984796</v>
      </c>
      <c r="X18" s="38">
        <f>'[1]23valor'!Y59/'[1]23valor'!$AM59</f>
        <v>0.009189395837584694</v>
      </c>
      <c r="Y18" s="38">
        <f>'[1]23valor'!Z59/'[1]23valor'!$AM59</f>
        <v>0.009957869558366549</v>
      </c>
      <c r="Z18" s="38">
        <f>'[1]23valor'!AA59/'[1]23valor'!$AM59</f>
        <v>0.017359756774838492</v>
      </c>
      <c r="AA18" s="40">
        <f>'[1]23valor'!AB59/'[1]23valor'!$AM59</f>
        <v>0.6092769630951796</v>
      </c>
      <c r="AB18" s="38">
        <f>'[1]23valor'!AC59/'[1]23valor'!$AM59</f>
        <v>0.39072303690482035</v>
      </c>
      <c r="AC18" s="38">
        <f>'[1]23valor'!AD59/'[1]23valor'!$AM59</f>
        <v>0</v>
      </c>
      <c r="AD18" s="38">
        <f>'[1]23valor'!AE59/'[1]23valor'!$AM59</f>
        <v>0</v>
      </c>
      <c r="AE18" s="38">
        <f>'[1]23valor'!AF59/'[1]23valor'!$AM59</f>
        <v>0</v>
      </c>
      <c r="AF18" s="38">
        <f>'[1]23valor'!AG59/'[1]23valor'!$AM59</f>
        <v>0</v>
      </c>
      <c r="AG18" s="38">
        <f>'[1]23valor'!AH59/'[1]23valor'!$AM59</f>
        <v>0</v>
      </c>
      <c r="AH18" s="38">
        <f>'[1]23valor'!AI59/'[1]23valor'!$AM59</f>
        <v>0</v>
      </c>
      <c r="AI18" s="38">
        <f>'[1]23valor'!AJ59/'[1]23valor'!$AM59</f>
        <v>0</v>
      </c>
      <c r="AJ18" s="38">
        <f>'[1]23valor'!AK59/'[1]23valor'!$AM59</f>
        <v>0</v>
      </c>
      <c r="AK18" s="40">
        <f>'[1]23valor'!AL59/'[1]23valor'!$AM59</f>
        <v>0.39072303690482035</v>
      </c>
      <c r="AL18" s="41">
        <f>'[1]23valor'!AM59/'[1]23valor'!$AM59</f>
        <v>1</v>
      </c>
    </row>
    <row r="19" spans="1:38" ht="15.75" customHeight="1">
      <c r="A19" s="36">
        <v>15</v>
      </c>
      <c r="B19" s="37" t="s">
        <v>38</v>
      </c>
      <c r="C19" s="38">
        <f>'[1]23valor'!D63/'[1]23valor'!$AM63</f>
        <v>0.010119126624844448</v>
      </c>
      <c r="D19" s="38">
        <f>'[1]23valor'!E63/'[1]23valor'!$AM63</f>
        <v>0.002606758167089897</v>
      </c>
      <c r="E19" s="38">
        <f>'[1]23valor'!F63/'[1]23valor'!$AM63</f>
        <v>0.0008246761428064188</v>
      </c>
      <c r="F19" s="38">
        <f>'[1]23valor'!G63/'[1]23valor'!$AM63</f>
        <v>0.00041705435653363826</v>
      </c>
      <c r="G19" s="38">
        <f>'[1]23valor'!H63/'[1]23valor'!$AM63</f>
        <v>0.00015833242937868334</v>
      </c>
      <c r="H19" s="38">
        <f>'[1]23valor'!I63/'[1]23valor'!$AM63</f>
        <v>0.0005888618862849755</v>
      </c>
      <c r="I19" s="38">
        <f>'[1]23valor'!J63/'[1]23valor'!$AM63</f>
        <v>0.0012841770655139168</v>
      </c>
      <c r="J19" s="38">
        <f>'[1]23valor'!K63/'[1]23valor'!$AM63</f>
        <v>0.002992146037747799</v>
      </c>
      <c r="K19" s="38">
        <f>'[1]23valor'!L63/'[1]23valor'!$AM63</f>
        <v>0.0025380351551893623</v>
      </c>
      <c r="L19" s="38">
        <f>'[1]23valor'!M63/'[1]23valor'!$AM63</f>
        <v>0.0004952099386950309</v>
      </c>
      <c r="M19" s="38">
        <f>'[1]23valor'!N63/'[1]23valor'!$AM63</f>
        <v>0.0008172648376014591</v>
      </c>
      <c r="N19" s="38">
        <f>'[1]23valor'!O63/'[1]23valor'!$AM63</f>
        <v>0.0029739546522447157</v>
      </c>
      <c r="O19" s="38">
        <f>'[1]23valor'!P63/'[1]23valor'!$AM63</f>
        <v>0.002200483890854382</v>
      </c>
      <c r="P19" s="38">
        <f>'[1]23valor'!Q63/'[1]23valor'!$AM63</f>
        <v>0.007046803739879358</v>
      </c>
      <c r="Q19" s="38">
        <f>'[1]23valor'!R63/'[1]23valor'!$AM63</f>
        <v>0.00012599218848431397</v>
      </c>
      <c r="R19" s="38">
        <f>'[1]23valor'!S63/'[1]23valor'!$AM63</f>
        <v>0.02411773464697595</v>
      </c>
      <c r="S19" s="38">
        <f>'[1]23valor'!T63/'[1]23valor'!$AM63</f>
        <v>0.008344455905765928</v>
      </c>
      <c r="T19" s="38">
        <f>'[1]23valor'!U63/'[1]23valor'!$AM63</f>
        <v>0.012223263548034354</v>
      </c>
      <c r="U19" s="38">
        <f>'[1]23valor'!V63/'[1]23valor'!$AM63</f>
        <v>0</v>
      </c>
      <c r="V19" s="38">
        <f>'[1]23valor'!W63/'[1]23valor'!$AM63</f>
        <v>0.06051734952860731</v>
      </c>
      <c r="W19" s="38">
        <f>'[1]23valor'!X63/'[1]23valor'!$AM63</f>
        <v>0.007718537493456154</v>
      </c>
      <c r="X19" s="38">
        <f>'[1]23valor'!Y63/'[1]23valor'!$AM63</f>
        <v>0.0032279602942692424</v>
      </c>
      <c r="Y19" s="38">
        <f>'[1]23valor'!Z63/'[1]23valor'!$AM63</f>
        <v>0.0020650591321092105</v>
      </c>
      <c r="Z19" s="38">
        <f>'[1]23valor'!AA63/'[1]23valor'!$AM63</f>
        <v>0.006202588701532591</v>
      </c>
      <c r="AA19" s="40">
        <f>'[1]23valor'!AB63/'[1]23valor'!$AM63</f>
        <v>0.15960582636389914</v>
      </c>
      <c r="AB19" s="38">
        <f>'[1]23valor'!AC63/'[1]23valor'!$AM63</f>
        <v>0.018540390602734505</v>
      </c>
      <c r="AC19" s="38">
        <f>'[1]23valor'!AD63/'[1]23valor'!$AM63</f>
        <v>0</v>
      </c>
      <c r="AD19" s="38">
        <f>'[1]23valor'!AE63/'[1]23valor'!$AM63</f>
        <v>0.8218537830333664</v>
      </c>
      <c r="AE19" s="38">
        <f>'[1]23valor'!AF63/'[1]23valor'!$AM63</f>
        <v>0</v>
      </c>
      <c r="AF19" s="38">
        <f>'[1]23valor'!AG63/'[1]23valor'!$AM63</f>
        <v>0.8218537830333664</v>
      </c>
      <c r="AG19" s="38">
        <f>'[1]23valor'!AH63/'[1]23valor'!$AM63</f>
        <v>0</v>
      </c>
      <c r="AH19" s="38">
        <f>'[1]23valor'!AI63/'[1]23valor'!$AM63</f>
        <v>0</v>
      </c>
      <c r="AI19" s="38">
        <f>'[1]23valor'!AJ63/'[1]23valor'!$AM63</f>
        <v>0</v>
      </c>
      <c r="AJ19" s="38">
        <f>'[1]23valor'!AK63/'[1]23valor'!$AM63</f>
        <v>0</v>
      </c>
      <c r="AK19" s="40">
        <f>'[1]23valor'!AL63/'[1]23valor'!$AM63</f>
        <v>0.8403941736361009</v>
      </c>
      <c r="AL19" s="41">
        <f>'[1]23valor'!AM63/'[1]23valor'!$AM63</f>
        <v>1</v>
      </c>
    </row>
    <row r="20" spans="1:38" ht="15.75" customHeight="1">
      <c r="A20" s="36">
        <v>16</v>
      </c>
      <c r="B20" s="88" t="s">
        <v>112</v>
      </c>
      <c r="C20" s="38">
        <f>'[1]23valor'!D67/'[1]23valor'!$AM67</f>
        <v>0.013595244573748874</v>
      </c>
      <c r="D20" s="38">
        <f>'[1]23valor'!E67/'[1]23valor'!$AM67</f>
        <v>0.017330096071331392</v>
      </c>
      <c r="E20" s="38">
        <f>'[1]23valor'!F67/'[1]23valor'!$AM67</f>
        <v>0.005836281055738117</v>
      </c>
      <c r="F20" s="38">
        <f>'[1]23valor'!G67/'[1]23valor'!$AM67</f>
        <v>0.004873893295937375</v>
      </c>
      <c r="G20" s="38">
        <f>'[1]23valor'!H67/'[1]23valor'!$AM67</f>
        <v>0.005351947589844486</v>
      </c>
      <c r="H20" s="38">
        <f>'[1]23valor'!I67/'[1]23valor'!$AM67</f>
        <v>0.015826443686292567</v>
      </c>
      <c r="I20" s="38">
        <f>'[1]23valor'!J67/'[1]23valor'!$AM67</f>
        <v>0.011817401678631977</v>
      </c>
      <c r="J20" s="38">
        <f>'[1]23valor'!K67/'[1]23valor'!$AM67</f>
        <v>0.005875630533520313</v>
      </c>
      <c r="K20" s="38">
        <f>'[1]23valor'!L67/'[1]23valor'!$AM67</f>
        <v>0.02520961969148335</v>
      </c>
      <c r="L20" s="38">
        <f>'[1]23valor'!M67/'[1]23valor'!$AM67</f>
        <v>0.00702974234464282</v>
      </c>
      <c r="M20" s="38">
        <f>'[1]23valor'!N67/'[1]23valor'!$AM67</f>
        <v>0.028576093099189986</v>
      </c>
      <c r="N20" s="38">
        <f>'[1]23valor'!O67/'[1]23valor'!$AM67</f>
        <v>0.024934591958473744</v>
      </c>
      <c r="O20" s="38">
        <f>'[1]23valor'!P67/'[1]23valor'!$AM67</f>
        <v>0.010721058249785462</v>
      </c>
      <c r="P20" s="38">
        <f>'[1]23valor'!Q67/'[1]23valor'!$AM67</f>
        <v>0.0007221047784498817</v>
      </c>
      <c r="Q20" s="38">
        <f>'[1]23valor'!R67/'[1]23valor'!$AM67</f>
        <v>0.027830546078657096</v>
      </c>
      <c r="R20" s="38">
        <f>'[1]23valor'!S67/'[1]23valor'!$AM67</f>
        <v>0.04797245536555246</v>
      </c>
      <c r="S20" s="38">
        <f>'[1]23valor'!T67/'[1]23valor'!$AM67</f>
        <v>0.02860204701006761</v>
      </c>
      <c r="T20" s="38">
        <f>'[1]23valor'!U67/'[1]23valor'!$AM67</f>
        <v>0.006939740879502689</v>
      </c>
      <c r="U20" s="38">
        <f>'[1]23valor'!V67/'[1]23valor'!$AM67</f>
        <v>0</v>
      </c>
      <c r="V20" s="38">
        <f>'[1]23valor'!W67/'[1]23valor'!$AM67</f>
        <v>0.009255499508131529</v>
      </c>
      <c r="W20" s="38">
        <f>'[1]23valor'!X67/'[1]23valor'!$AM67</f>
        <v>0.006344056763714758</v>
      </c>
      <c r="X20" s="38">
        <f>'[1]23valor'!Y67/'[1]23valor'!$AM67</f>
        <v>0.0035125688092596855</v>
      </c>
      <c r="Y20" s="38">
        <f>'[1]23valor'!Z67/'[1]23valor'!$AM67</f>
        <v>0.0075304016577014046</v>
      </c>
      <c r="Z20" s="38">
        <f>'[1]23valor'!AA67/'[1]23valor'!$AM67</f>
        <v>0.004170207421981288</v>
      </c>
      <c r="AA20" s="40">
        <f>'[1]23valor'!AB67/'[1]23valor'!$AM67</f>
        <v>0.31985767210163885</v>
      </c>
      <c r="AB20" s="38">
        <f>'[1]23valor'!AC67/'[1]23valor'!$AM67</f>
        <v>0.6602746091215439</v>
      </c>
      <c r="AC20" s="38">
        <f>'[1]23valor'!AD67/'[1]23valor'!$AM67</f>
        <v>0</v>
      </c>
      <c r="AD20" s="38">
        <f>'[1]23valor'!AE67/'[1]23valor'!$AM67</f>
        <v>0.019867718776817297</v>
      </c>
      <c r="AE20" s="38">
        <f>'[1]23valor'!AF67/'[1]23valor'!$AM67</f>
        <v>0</v>
      </c>
      <c r="AF20" s="38">
        <f>'[1]23valor'!AG67/'[1]23valor'!$AM67</f>
        <v>0.019867718776817297</v>
      </c>
      <c r="AG20" s="38">
        <f>'[1]23valor'!AH67/'[1]23valor'!$AM67</f>
        <v>0</v>
      </c>
      <c r="AH20" s="38">
        <f>'[1]23valor'!AI67/'[1]23valor'!$AM67</f>
        <v>0</v>
      </c>
      <c r="AI20" s="38">
        <f>'[1]23valor'!AJ67/'[1]23valor'!$AM67</f>
        <v>0</v>
      </c>
      <c r="AJ20" s="38">
        <f>'[1]23valor'!AK67/'[1]23valor'!$AM67</f>
        <v>0</v>
      </c>
      <c r="AK20" s="40">
        <f>'[1]23valor'!AL67/'[1]23valor'!$AM67</f>
        <v>0.680142327898361</v>
      </c>
      <c r="AL20" s="41">
        <f>'[1]23valor'!AM67/'[1]23valor'!$AM67</f>
        <v>1</v>
      </c>
    </row>
    <row r="21" spans="1:38" ht="15.75" customHeight="1">
      <c r="A21" s="36">
        <v>17</v>
      </c>
      <c r="B21" s="37" t="s">
        <v>70</v>
      </c>
      <c r="C21" s="38">
        <f>'[1]23valor'!D71/'[1]23valor'!$AM71</f>
        <v>0.005221355930811645</v>
      </c>
      <c r="D21" s="38">
        <f>'[1]23valor'!E71/'[1]23valor'!$AM71</f>
        <v>0.026765735916606106</v>
      </c>
      <c r="E21" s="38">
        <f>'[1]23valor'!F71/'[1]23valor'!$AM71</f>
        <v>0.01595864792849606</v>
      </c>
      <c r="F21" s="38">
        <f>'[1]23valor'!G71/'[1]23valor'!$AM71</f>
        <v>0.008212319402874774</v>
      </c>
      <c r="G21" s="38">
        <f>'[1]23valor'!H71/'[1]23valor'!$AM71</f>
        <v>0.006796897773507906</v>
      </c>
      <c r="H21" s="38">
        <f>'[1]23valor'!I71/'[1]23valor'!$AM71</f>
        <v>0.03751431844215349</v>
      </c>
      <c r="I21" s="38">
        <f>'[1]23valor'!J71/'[1]23valor'!$AM71</f>
        <v>0.03127476218042674</v>
      </c>
      <c r="J21" s="38">
        <f>'[1]23valor'!K71/'[1]23valor'!$AM71</f>
        <v>0.0391606826868993</v>
      </c>
      <c r="K21" s="38">
        <f>'[1]23valor'!L71/'[1]23valor'!$AM71</f>
        <v>0.08369155099007665</v>
      </c>
      <c r="L21" s="38">
        <f>'[1]23valor'!M71/'[1]23valor'!$AM71</f>
        <v>0.012422659884138655</v>
      </c>
      <c r="M21" s="38">
        <f>'[1]23valor'!N71/'[1]23valor'!$AM71</f>
        <v>0.0395004249344123</v>
      </c>
      <c r="N21" s="38">
        <f>'[1]23valor'!O71/'[1]23valor'!$AM71</f>
        <v>0.035607245644935476</v>
      </c>
      <c r="O21" s="38">
        <f>'[1]23valor'!P71/'[1]23valor'!$AM71</f>
        <v>0.01609926632097123</v>
      </c>
      <c r="P21" s="38">
        <f>'[1]23valor'!Q71/'[1]23valor'!$AM71</f>
        <v>0.0011044189073232415</v>
      </c>
      <c r="Q21" s="38">
        <f>'[1]23valor'!R71/'[1]23valor'!$AM71</f>
        <v>0.062422249319489094</v>
      </c>
      <c r="R21" s="38">
        <f>'[1]23valor'!S71/'[1]23valor'!$AM71</f>
        <v>0.10942266398978516</v>
      </c>
      <c r="S21" s="38">
        <f>'[1]23valor'!T71/'[1]23valor'!$AM71</f>
        <v>0.12828400399068837</v>
      </c>
      <c r="T21" s="38">
        <f>'[1]23valor'!U71/'[1]23valor'!$AM71</f>
        <v>0.02737029236308695</v>
      </c>
      <c r="U21" s="38">
        <f>'[1]23valor'!V71/'[1]23valor'!$AM71</f>
        <v>0</v>
      </c>
      <c r="V21" s="38">
        <f>'[1]23valor'!W71/'[1]23valor'!$AM71</f>
        <v>0.016217303657720464</v>
      </c>
      <c r="W21" s="38">
        <f>'[1]23valor'!X71/'[1]23valor'!$AM71</f>
        <v>0.014467271838960122</v>
      </c>
      <c r="X21" s="38">
        <f>'[1]23valor'!Y71/'[1]23valor'!$AM71</f>
        <v>0.012366207244823806</v>
      </c>
      <c r="Y21" s="38">
        <f>'[1]23valor'!Z71/'[1]23valor'!$AM71</f>
        <v>0.005244963398161492</v>
      </c>
      <c r="Z21" s="38">
        <f>'[1]23valor'!AA71/'[1]23valor'!$AM71</f>
        <v>0.013950986792135224</v>
      </c>
      <c r="AA21" s="40">
        <f>'[1]23valor'!AB71/'[1]23valor'!$AM71</f>
        <v>0.7490762295384843</v>
      </c>
      <c r="AB21" s="38">
        <f>'[1]23valor'!AC71/'[1]23valor'!$AM71</f>
        <v>0.18288602314763494</v>
      </c>
      <c r="AC21" s="38">
        <f>'[1]23valor'!AD71/'[1]23valor'!$AM71</f>
        <v>0</v>
      </c>
      <c r="AD21" s="38">
        <f>'[1]23valor'!AE71/'[1]23valor'!$AM71</f>
        <v>0.025160428136816564</v>
      </c>
      <c r="AE21" s="38">
        <f>'[1]23valor'!AF71/'[1]23valor'!$AM71</f>
        <v>0</v>
      </c>
      <c r="AF21" s="38">
        <f>'[1]23valor'!AG71/'[1]23valor'!$AM71</f>
        <v>0.025160428136816564</v>
      </c>
      <c r="AG21" s="38">
        <f>'[1]23valor'!AH71/'[1]23valor'!$AM71</f>
        <v>0.042877319177064215</v>
      </c>
      <c r="AH21" s="38">
        <f>'[1]23valor'!AI71/'[1]23valor'!$AM71</f>
        <v>0.03713146690643642</v>
      </c>
      <c r="AI21" s="38">
        <f>'[1]23valor'!AJ71/'[1]23valor'!$AM71</f>
        <v>0.005123846826540541</v>
      </c>
      <c r="AJ21" s="38">
        <f>'[1]23valor'!AK71/'[1]23valor'!$AM71</f>
        <v>0.0006220054440872532</v>
      </c>
      <c r="AK21" s="40">
        <f>'[1]23valor'!AL71/'[1]23valor'!$AM71</f>
        <v>0.2509237704615157</v>
      </c>
      <c r="AL21" s="41">
        <f>'[1]23valor'!AM71/'[1]23valor'!$AM71</f>
        <v>1</v>
      </c>
    </row>
    <row r="22" spans="1:38" ht="15.75" customHeight="1">
      <c r="A22" s="36">
        <v>18</v>
      </c>
      <c r="B22" s="37" t="s">
        <v>40</v>
      </c>
      <c r="C22" s="38">
        <f>'[1]23valor'!D75/'[1]23valor'!$AM75</f>
        <v>0.005963665500555125</v>
      </c>
      <c r="D22" s="38">
        <f>'[1]23valor'!E75/'[1]23valor'!$AM75</f>
        <v>0.002762532207721474</v>
      </c>
      <c r="E22" s="38">
        <f>'[1]23valor'!F75/'[1]23valor'!$AM75</f>
        <v>0.0025072270984770723</v>
      </c>
      <c r="F22" s="38">
        <f>'[1]23valor'!G75/'[1]23valor'!$AM75</f>
        <v>0.0007331839034711021</v>
      </c>
      <c r="G22" s="38">
        <f>'[1]23valor'!H75/'[1]23valor'!$AM75</f>
        <v>0.0008614910865785449</v>
      </c>
      <c r="H22" s="38">
        <f>'[1]23valor'!I75/'[1]23valor'!$AM75</f>
        <v>0.002208716509206695</v>
      </c>
      <c r="I22" s="38">
        <f>'[1]23valor'!J75/'[1]23valor'!$AM75</f>
        <v>0.0021877683976789493</v>
      </c>
      <c r="J22" s="38">
        <f>'[1]23valor'!K75/'[1]23valor'!$AM75</f>
        <v>0.003341223788675451</v>
      </c>
      <c r="K22" s="38">
        <f>'[1]23valor'!L75/'[1]23valor'!$AM75</f>
        <v>0.00516240023461885</v>
      </c>
      <c r="L22" s="38">
        <f>'[1]23valor'!M75/'[1]23valor'!$AM75</f>
        <v>0.0027455118671051806</v>
      </c>
      <c r="M22" s="38">
        <f>'[1]23valor'!N75/'[1]23valor'!$AM75</f>
        <v>0.005934861847204475</v>
      </c>
      <c r="N22" s="38">
        <f>'[1]23valor'!O75/'[1]23valor'!$AM75</f>
        <v>0.0026263694827911264</v>
      </c>
      <c r="O22" s="38">
        <f>'[1]23valor'!P75/'[1]23valor'!$AM75</f>
        <v>0.003172329639483001</v>
      </c>
      <c r="P22" s="38">
        <f>'[1]23valor'!Q75/'[1]23valor'!$AM75</f>
        <v>0.0014009049584179987</v>
      </c>
      <c r="Q22" s="38">
        <f>'[1]23valor'!R75/'[1]23valor'!$AM75</f>
        <v>0.007238881789806649</v>
      </c>
      <c r="R22" s="38">
        <f>'[1]23valor'!S75/'[1]23valor'!$AM75</f>
        <v>0.012770492490102018</v>
      </c>
      <c r="S22" s="38">
        <f>'[1]23valor'!T75/'[1]23valor'!$AM75</f>
        <v>0.007059513584850327</v>
      </c>
      <c r="T22" s="38">
        <f>'[1]23valor'!U75/'[1]23valor'!$AM75</f>
        <v>0.04894002555669606</v>
      </c>
      <c r="U22" s="38">
        <f>'[1]23valor'!V75/'[1]23valor'!$AM75</f>
        <v>0.7636110354651529</v>
      </c>
      <c r="V22" s="38">
        <f>'[1]23valor'!W75/'[1]23valor'!$AM75</f>
        <v>0.007402538911117163</v>
      </c>
      <c r="W22" s="38">
        <f>'[1]23valor'!X75/'[1]23valor'!$AM75</f>
        <v>0.0015684898506399649</v>
      </c>
      <c r="X22" s="38">
        <f>'[1]23valor'!Y75/'[1]23valor'!$AM75</f>
        <v>0.00039670486205668564</v>
      </c>
      <c r="Y22" s="38">
        <f>'[1]23valor'!Z75/'[1]23valor'!$AM75</f>
        <v>0.0004399103420826613</v>
      </c>
      <c r="Z22" s="38">
        <f>'[1]23valor'!AA75/'[1]23valor'!$AM75</f>
        <v>0.0034459643463141797</v>
      </c>
      <c r="AA22" s="40">
        <f>'[1]23valor'!AB75/'[1]23valor'!$AM75</f>
        <v>0.8944817437208037</v>
      </c>
      <c r="AB22" s="38">
        <f>'[1]23valor'!AC75/'[1]23valor'!$AM75</f>
        <v>0.10551825627919643</v>
      </c>
      <c r="AC22" s="38">
        <f>'[1]23valor'!AD75/'[1]23valor'!$AM75</f>
        <v>0</v>
      </c>
      <c r="AD22" s="38">
        <f>'[1]23valor'!AE75/'[1]23valor'!$AM75</f>
        <v>0</v>
      </c>
      <c r="AE22" s="38">
        <f>'[1]23valor'!AF75/'[1]23valor'!$AM75</f>
        <v>0</v>
      </c>
      <c r="AF22" s="38">
        <f>'[1]23valor'!AG75/'[1]23valor'!$AM75</f>
        <v>0</v>
      </c>
      <c r="AG22" s="38">
        <f>'[1]23valor'!AH75/'[1]23valor'!$AM75</f>
        <v>0</v>
      </c>
      <c r="AH22" s="38">
        <f>'[1]23valor'!AI75/'[1]23valor'!$AM75</f>
        <v>0</v>
      </c>
      <c r="AI22" s="38">
        <f>'[1]23valor'!AJ75/'[1]23valor'!$AM75</f>
        <v>0</v>
      </c>
      <c r="AJ22" s="38">
        <f>'[1]23valor'!AK75/'[1]23valor'!$AM75</f>
        <v>0</v>
      </c>
      <c r="AK22" s="40">
        <f>'[1]23valor'!AL75/'[1]23valor'!$AM75</f>
        <v>0.10551825627919643</v>
      </c>
      <c r="AL22" s="41">
        <f>'[1]23valor'!AM75/'[1]23valor'!$AM75</f>
        <v>1</v>
      </c>
    </row>
    <row r="23" spans="1:38" ht="15.75" customHeight="1">
      <c r="A23" s="36">
        <v>19</v>
      </c>
      <c r="B23" s="37" t="s">
        <v>71</v>
      </c>
      <c r="C23" s="38">
        <f>'[1]23valor'!D79/'[1]23valor'!$AM79</f>
        <v>0.00013890303642037614</v>
      </c>
      <c r="D23" s="38">
        <f>'[1]23valor'!E79/'[1]23valor'!$AM79</f>
        <v>0.014044165466995568</v>
      </c>
      <c r="E23" s="38">
        <f>'[1]23valor'!F79/'[1]23valor'!$AM79</f>
        <v>0.01581143948422097</v>
      </c>
      <c r="F23" s="38">
        <f>'[1]23valor'!G79/'[1]23valor'!$AM79</f>
        <v>0.011135037258068307</v>
      </c>
      <c r="G23" s="38">
        <f>'[1]23valor'!H79/'[1]23valor'!$AM79</f>
        <v>0.008826397560435285</v>
      </c>
      <c r="H23" s="38">
        <f>'[1]23valor'!I79/'[1]23valor'!$AM79</f>
        <v>0.02260914038965507</v>
      </c>
      <c r="I23" s="38">
        <f>'[1]23valor'!J79/'[1]23valor'!$AM79</f>
        <v>0.01566541321516365</v>
      </c>
      <c r="J23" s="38">
        <f>'[1]23valor'!K79/'[1]23valor'!$AM79</f>
        <v>0.014188054766261804</v>
      </c>
      <c r="K23" s="38">
        <f>'[1]23valor'!L79/'[1]23valor'!$AM79</f>
        <v>0.016416201935097376</v>
      </c>
      <c r="L23" s="38">
        <f>'[1]23valor'!M79/'[1]23valor'!$AM79</f>
        <v>0.009433296981102774</v>
      </c>
      <c r="M23" s="38">
        <f>'[1]23valor'!N79/'[1]23valor'!$AM79</f>
        <v>0.031631426847606274</v>
      </c>
      <c r="N23" s="38">
        <f>'[1]23valor'!O79/'[1]23valor'!$AM79</f>
        <v>0.013368170689749739</v>
      </c>
      <c r="O23" s="38">
        <f>'[1]23valor'!P79/'[1]23valor'!$AM79</f>
        <v>0.01222489185152049</v>
      </c>
      <c r="P23" s="38">
        <f>'[1]23valor'!Q79/'[1]23valor'!$AM79</f>
        <v>0.005544724284595938</v>
      </c>
      <c r="Q23" s="38">
        <f>'[1]23valor'!R79/'[1]23valor'!$AM79</f>
        <v>0.023037958994398998</v>
      </c>
      <c r="R23" s="38">
        <f>'[1]23valor'!S79/'[1]23valor'!$AM79</f>
        <v>0.11905557332406363</v>
      </c>
      <c r="S23" s="38">
        <f>'[1]23valor'!T79/'[1]23valor'!$AM79</f>
        <v>0.02069726474989974</v>
      </c>
      <c r="T23" s="38">
        <f>'[1]23valor'!U79/'[1]23valor'!$AM79</f>
        <v>0.05380961166272633</v>
      </c>
      <c r="U23" s="38">
        <f>'[1]23valor'!V79/'[1]23valor'!$AM79</f>
        <v>0</v>
      </c>
      <c r="V23" s="38">
        <f>'[1]23valor'!W79/'[1]23valor'!$AM79</f>
        <v>0.03472789607488512</v>
      </c>
      <c r="W23" s="38">
        <f>'[1]23valor'!X79/'[1]23valor'!$AM79</f>
        <v>0.06287962377934504</v>
      </c>
      <c r="X23" s="38">
        <f>'[1]23valor'!Y79/'[1]23valor'!$AM79</f>
        <v>0.00819812844185697</v>
      </c>
      <c r="Y23" s="38">
        <f>'[1]23valor'!Z79/'[1]23valor'!$AM79</f>
        <v>0.011573116065240262</v>
      </c>
      <c r="Z23" s="38">
        <f>'[1]23valor'!AA79/'[1]23valor'!$AM79</f>
        <v>0.035965201583922</v>
      </c>
      <c r="AA23" s="40">
        <f>'[1]23valor'!AB79/'[1]23valor'!$AM79</f>
        <v>0.5609816384432317</v>
      </c>
      <c r="AB23" s="38">
        <f>'[1]23valor'!AC79/'[1]23valor'!$AM79</f>
        <v>0.4245510760711383</v>
      </c>
      <c r="AC23" s="38">
        <f>'[1]23valor'!AD79/'[1]23valor'!$AM79</f>
        <v>0</v>
      </c>
      <c r="AD23" s="38">
        <f>'[1]23valor'!AE79/'[1]23valor'!$AM79</f>
        <v>0.009233134144004696</v>
      </c>
      <c r="AE23" s="38">
        <f>'[1]23valor'!AF79/'[1]23valor'!$AM79</f>
        <v>0</v>
      </c>
      <c r="AF23" s="38">
        <f>'[1]23valor'!AG79/'[1]23valor'!$AM79</f>
        <v>0.009233134144004696</v>
      </c>
      <c r="AG23" s="38">
        <f>'[1]23valor'!AH79/'[1]23valor'!$AM79</f>
        <v>0.00523415134162525</v>
      </c>
      <c r="AH23" s="38">
        <f>'[1]23valor'!AI79/'[1]23valor'!$AM79</f>
        <v>0.005111631740269842</v>
      </c>
      <c r="AI23" s="38">
        <f>'[1]23valor'!AJ79/'[1]23valor'!$AM79</f>
        <v>0.0001225196013554087</v>
      </c>
      <c r="AJ23" s="38">
        <f>'[1]23valor'!AK79/'[1]23valor'!$AM79</f>
        <v>0</v>
      </c>
      <c r="AK23" s="40">
        <f>'[1]23valor'!AL79/'[1]23valor'!$AM79</f>
        <v>0.4390183615567682</v>
      </c>
      <c r="AL23" s="41">
        <f>'[1]23valor'!AM79/'[1]23valor'!$AM79</f>
        <v>1</v>
      </c>
    </row>
    <row r="24" spans="1:38" ht="15.75" customHeight="1">
      <c r="A24" s="36">
        <v>20</v>
      </c>
      <c r="B24" s="37" t="s">
        <v>43</v>
      </c>
      <c r="C24" s="38">
        <f>'[1]23valor'!D83/'[1]23valor'!$AM83</f>
        <v>0</v>
      </c>
      <c r="D24" s="38">
        <f>'[1]23valor'!E83/'[1]23valor'!$AM83</f>
        <v>0</v>
      </c>
      <c r="E24" s="38">
        <f>'[1]23valor'!F83/'[1]23valor'!$AM83</f>
        <v>0</v>
      </c>
      <c r="F24" s="38">
        <f>'[1]23valor'!G83/'[1]23valor'!$AM83</f>
        <v>0</v>
      </c>
      <c r="G24" s="38">
        <f>'[1]23valor'!H83/'[1]23valor'!$AM83</f>
        <v>0</v>
      </c>
      <c r="H24" s="38">
        <f>'[1]23valor'!I83/'[1]23valor'!$AM83</f>
        <v>0</v>
      </c>
      <c r="I24" s="38">
        <f>'[1]23valor'!J83/'[1]23valor'!$AM83</f>
        <v>0</v>
      </c>
      <c r="J24" s="38">
        <f>'[1]23valor'!K83/'[1]23valor'!$AM83</f>
        <v>0</v>
      </c>
      <c r="K24" s="38">
        <f>'[1]23valor'!L83/'[1]23valor'!$AM83</f>
        <v>0</v>
      </c>
      <c r="L24" s="38">
        <f>'[1]23valor'!M83/'[1]23valor'!$AM83</f>
        <v>0</v>
      </c>
      <c r="M24" s="38">
        <f>'[1]23valor'!N83/'[1]23valor'!$AM83</f>
        <v>0</v>
      </c>
      <c r="N24" s="38">
        <f>'[1]23valor'!O83/'[1]23valor'!$AM83</f>
        <v>0</v>
      </c>
      <c r="O24" s="38">
        <f>'[1]23valor'!P83/'[1]23valor'!$AM83</f>
        <v>0</v>
      </c>
      <c r="P24" s="38">
        <f>'[1]23valor'!Q83/'[1]23valor'!$AM83</f>
        <v>0</v>
      </c>
      <c r="Q24" s="38">
        <f>'[1]23valor'!R83/'[1]23valor'!$AM83</f>
        <v>0</v>
      </c>
      <c r="R24" s="38">
        <f>'[1]23valor'!S83/'[1]23valor'!$AM83</f>
        <v>0</v>
      </c>
      <c r="S24" s="38">
        <f>'[1]23valor'!T83/'[1]23valor'!$AM83</f>
        <v>0</v>
      </c>
      <c r="T24" s="38">
        <f>'[1]23valor'!U83/'[1]23valor'!$AM83</f>
        <v>0</v>
      </c>
      <c r="U24" s="38">
        <f>'[1]23valor'!V83/'[1]23valor'!$AM83</f>
        <v>0</v>
      </c>
      <c r="V24" s="38">
        <f>'[1]23valor'!W83/'[1]23valor'!$AM83</f>
        <v>0</v>
      </c>
      <c r="W24" s="38">
        <f>'[1]23valor'!X83/'[1]23valor'!$AM83</f>
        <v>0</v>
      </c>
      <c r="X24" s="38">
        <f>'[1]23valor'!Y83/'[1]23valor'!$AM83</f>
        <v>0</v>
      </c>
      <c r="Y24" s="38">
        <f>'[1]23valor'!Z83/'[1]23valor'!$AM83</f>
        <v>0</v>
      </c>
      <c r="Z24" s="38">
        <f>'[1]23valor'!AA83/'[1]23valor'!$AM83</f>
        <v>0</v>
      </c>
      <c r="AA24" s="40">
        <f>'[1]23valor'!AB83/'[1]23valor'!$AM83</f>
        <v>0</v>
      </c>
      <c r="AB24" s="38">
        <f>'[1]23valor'!AC83/'[1]23valor'!$AM83</f>
        <v>0</v>
      </c>
      <c r="AC24" s="38">
        <f>'[1]23valor'!AD83/'[1]23valor'!$AM83</f>
        <v>1</v>
      </c>
      <c r="AD24" s="38">
        <f>'[1]23valor'!AE83/'[1]23valor'!$AM83</f>
        <v>0</v>
      </c>
      <c r="AE24" s="38">
        <f>'[1]23valor'!AF83/'[1]23valor'!$AM83</f>
        <v>0</v>
      </c>
      <c r="AF24" s="38">
        <f>'[1]23valor'!AG83/'[1]23valor'!$AM83</f>
        <v>0</v>
      </c>
      <c r="AG24" s="38">
        <f>'[1]23valor'!AH83/'[1]23valor'!$AM83</f>
        <v>0</v>
      </c>
      <c r="AH24" s="38">
        <f>'[1]23valor'!AI83/'[1]23valor'!$AM83</f>
        <v>0</v>
      </c>
      <c r="AI24" s="38">
        <f>'[1]23valor'!AJ83/'[1]23valor'!$AM83</f>
        <v>0</v>
      </c>
      <c r="AJ24" s="38">
        <f>'[1]23valor'!AK83/'[1]23valor'!$AM83</f>
        <v>0</v>
      </c>
      <c r="AK24" s="40">
        <f>'[1]23valor'!AL83/'[1]23valor'!$AM83</f>
        <v>1</v>
      </c>
      <c r="AL24" s="41">
        <f>'[1]23valor'!AM83/'[1]23valor'!$AM83</f>
        <v>1</v>
      </c>
    </row>
    <row r="25" spans="1:38" ht="15.75" customHeight="1">
      <c r="A25" s="36">
        <v>21</v>
      </c>
      <c r="B25" s="37" t="s">
        <v>44</v>
      </c>
      <c r="C25" s="38">
        <f>'[1]23valor'!D87/'[1]23valor'!$AM87</f>
        <v>0</v>
      </c>
      <c r="D25" s="38">
        <f>'[1]23valor'!E87/'[1]23valor'!$AM87</f>
        <v>0</v>
      </c>
      <c r="E25" s="38">
        <f>'[1]23valor'!F87/'[1]23valor'!$AM87</f>
        <v>0</v>
      </c>
      <c r="F25" s="38">
        <f>'[1]23valor'!G87/'[1]23valor'!$AM87</f>
        <v>0</v>
      </c>
      <c r="G25" s="38">
        <f>'[1]23valor'!H87/'[1]23valor'!$AM87</f>
        <v>0</v>
      </c>
      <c r="H25" s="38">
        <f>'[1]23valor'!I87/'[1]23valor'!$AM87</f>
        <v>0</v>
      </c>
      <c r="I25" s="38">
        <f>'[1]23valor'!J87/'[1]23valor'!$AM87</f>
        <v>0</v>
      </c>
      <c r="J25" s="38">
        <f>'[1]23valor'!K87/'[1]23valor'!$AM87</f>
        <v>0</v>
      </c>
      <c r="K25" s="38">
        <f>'[1]23valor'!L87/'[1]23valor'!$AM87</f>
        <v>0</v>
      </c>
      <c r="L25" s="38">
        <f>'[1]23valor'!M87/'[1]23valor'!$AM87</f>
        <v>0</v>
      </c>
      <c r="M25" s="38">
        <f>'[1]23valor'!N87/'[1]23valor'!$AM87</f>
        <v>7.22180262211617E-05</v>
      </c>
      <c r="N25" s="38">
        <f>'[1]23valor'!O87/'[1]23valor'!$AM87</f>
        <v>0</v>
      </c>
      <c r="O25" s="38">
        <f>'[1]23valor'!P87/'[1]23valor'!$AM87</f>
        <v>0</v>
      </c>
      <c r="P25" s="38">
        <f>'[1]23valor'!Q87/'[1]23valor'!$AM87</f>
        <v>0</v>
      </c>
      <c r="Q25" s="38">
        <f>'[1]23valor'!R87/'[1]23valor'!$AM87</f>
        <v>0</v>
      </c>
      <c r="R25" s="38">
        <f>'[1]23valor'!S87/'[1]23valor'!$AM87</f>
        <v>0</v>
      </c>
      <c r="S25" s="38">
        <f>'[1]23valor'!T87/'[1]23valor'!$AM87</f>
        <v>0</v>
      </c>
      <c r="T25" s="38">
        <f>'[1]23valor'!U87/'[1]23valor'!$AM87</f>
        <v>0</v>
      </c>
      <c r="U25" s="38">
        <f>'[1]23valor'!V87/'[1]23valor'!$AM87</f>
        <v>0</v>
      </c>
      <c r="V25" s="38">
        <f>'[1]23valor'!W87/'[1]23valor'!$AM87</f>
        <v>0</v>
      </c>
      <c r="W25" s="38">
        <f>'[1]23valor'!X87/'[1]23valor'!$AM87</f>
        <v>0</v>
      </c>
      <c r="X25" s="38">
        <f>'[1]23valor'!Y87/'[1]23valor'!$AM87</f>
        <v>0.0007492620220445525</v>
      </c>
      <c r="Y25" s="38">
        <f>'[1]23valor'!Z87/'[1]23valor'!$AM87</f>
        <v>0</v>
      </c>
      <c r="Z25" s="38">
        <f>'[1]23valor'!AA87/'[1]23valor'!$AM87</f>
        <v>0</v>
      </c>
      <c r="AA25" s="40">
        <f>'[1]23valor'!AB87/'[1]23valor'!$AM87</f>
        <v>0.0008214800482657143</v>
      </c>
      <c r="AB25" s="38">
        <f>'[1]23valor'!AC87/'[1]23valor'!$AM87</f>
        <v>0.5868918264239741</v>
      </c>
      <c r="AC25" s="38">
        <f>'[1]23valor'!AD87/'[1]23valor'!$AM87</f>
        <v>0.4122866935277603</v>
      </c>
      <c r="AD25" s="38">
        <f>'[1]23valor'!AE87/'[1]23valor'!$AM87</f>
        <v>0</v>
      </c>
      <c r="AE25" s="38">
        <f>'[1]23valor'!AF87/'[1]23valor'!$AM87</f>
        <v>0</v>
      </c>
      <c r="AF25" s="38">
        <f>'[1]23valor'!AG87/'[1]23valor'!$AM87</f>
        <v>0</v>
      </c>
      <c r="AG25" s="38">
        <f>'[1]23valor'!AH87/'[1]23valor'!$AM87</f>
        <v>0</v>
      </c>
      <c r="AH25" s="38">
        <f>'[1]23valor'!AI87/'[1]23valor'!$AM87</f>
        <v>0</v>
      </c>
      <c r="AI25" s="38">
        <f>'[1]23valor'!AJ87/'[1]23valor'!$AM87</f>
        <v>0</v>
      </c>
      <c r="AJ25" s="38">
        <f>'[1]23valor'!AK87/'[1]23valor'!$AM87</f>
        <v>0</v>
      </c>
      <c r="AK25" s="40">
        <f>'[1]23valor'!AL87/'[1]23valor'!$AM87</f>
        <v>0.9991785199517345</v>
      </c>
      <c r="AL25" s="41">
        <f>'[1]23valor'!AM87/'[1]23valor'!$AM87</f>
        <v>1</v>
      </c>
    </row>
    <row r="26" spans="1:38" ht="15.75" customHeight="1">
      <c r="A26" s="36">
        <v>22</v>
      </c>
      <c r="B26" s="37" t="s">
        <v>45</v>
      </c>
      <c r="C26" s="38">
        <f>'[1]23valor'!D91/'[1]23valor'!$AM91</f>
        <v>0.00321424763078298</v>
      </c>
      <c r="D26" s="38">
        <f>'[1]23valor'!E91/'[1]23valor'!$AM91</f>
        <v>0.0002725086195661189</v>
      </c>
      <c r="E26" s="38">
        <f>'[1]23valor'!F91/'[1]23valor'!$AM91</f>
        <v>0</v>
      </c>
      <c r="F26" s="38">
        <f>'[1]23valor'!G91/'[1]23valor'!$AM91</f>
        <v>0</v>
      </c>
      <c r="G26" s="38">
        <f>'[1]23valor'!H91/'[1]23valor'!$AM91</f>
        <v>0</v>
      </c>
      <c r="H26" s="38">
        <f>'[1]23valor'!I91/'[1]23valor'!$AM91</f>
        <v>0</v>
      </c>
      <c r="I26" s="38">
        <f>'[1]23valor'!J91/'[1]23valor'!$AM91</f>
        <v>0</v>
      </c>
      <c r="J26" s="38">
        <f>'[1]23valor'!K91/'[1]23valor'!$AM91</f>
        <v>0</v>
      </c>
      <c r="K26" s="38">
        <f>'[1]23valor'!L91/'[1]23valor'!$AM91</f>
        <v>0</v>
      </c>
      <c r="L26" s="38">
        <f>'[1]23valor'!M91/'[1]23valor'!$AM91</f>
        <v>0</v>
      </c>
      <c r="M26" s="38">
        <f>'[1]23valor'!N91/'[1]23valor'!$AM91</f>
        <v>4.062240291668853E-05</v>
      </c>
      <c r="N26" s="38">
        <f>'[1]23valor'!O91/'[1]23valor'!$AM91</f>
        <v>0</v>
      </c>
      <c r="O26" s="38">
        <f>'[1]23valor'!P91/'[1]23valor'!$AM91</f>
        <v>0</v>
      </c>
      <c r="P26" s="38">
        <f>'[1]23valor'!Q91/'[1]23valor'!$AM91</f>
        <v>0</v>
      </c>
      <c r="Q26" s="38">
        <f>'[1]23valor'!R91/'[1]23valor'!$AM91</f>
        <v>0</v>
      </c>
      <c r="R26" s="38">
        <f>'[1]23valor'!S91/'[1]23valor'!$AM91</f>
        <v>0</v>
      </c>
      <c r="S26" s="38">
        <f>'[1]23valor'!T91/'[1]23valor'!$AM91</f>
        <v>0</v>
      </c>
      <c r="T26" s="38">
        <f>'[1]23valor'!U91/'[1]23valor'!$AM91</f>
        <v>0.013048254336864662</v>
      </c>
      <c r="U26" s="38">
        <f>'[1]23valor'!V91/'[1]23valor'!$AM91</f>
        <v>0</v>
      </c>
      <c r="V26" s="38">
        <f>'[1]23valor'!W91/'[1]23valor'!$AM91</f>
        <v>0</v>
      </c>
      <c r="W26" s="38">
        <f>'[1]23valor'!X91/'[1]23valor'!$AM91</f>
        <v>0</v>
      </c>
      <c r="X26" s="38">
        <f>'[1]23valor'!Y91/'[1]23valor'!$AM91</f>
        <v>0.001442095303542443</v>
      </c>
      <c r="Y26" s="38">
        <f>'[1]23valor'!Z91/'[1]23valor'!$AM91</f>
        <v>0.04967273576650243</v>
      </c>
      <c r="Z26" s="38">
        <f>'[1]23valor'!AA91/'[1]23valor'!$AM91</f>
        <v>2.877420206598771E-05</v>
      </c>
      <c r="AA26" s="40">
        <f>'[1]23valor'!AB91/'[1]23valor'!$AM91</f>
        <v>0.06771923826224131</v>
      </c>
      <c r="AB26" s="38">
        <f>'[1]23valor'!AC91/'[1]23valor'!$AM91</f>
        <v>0.4719781586880318</v>
      </c>
      <c r="AC26" s="38">
        <f>'[1]23valor'!AD91/'[1]23valor'!$AM91</f>
        <v>0.4603026030497269</v>
      </c>
      <c r="AD26" s="38">
        <f>'[1]23valor'!AE91/'[1]23valor'!$AM91</f>
        <v>0</v>
      </c>
      <c r="AE26" s="38">
        <f>'[1]23valor'!AF91/'[1]23valor'!$AM91</f>
        <v>0</v>
      </c>
      <c r="AF26" s="38">
        <f>'[1]23valor'!AG91/'[1]23valor'!$AM91</f>
        <v>0</v>
      </c>
      <c r="AG26" s="38">
        <f>'[1]23valor'!AH91/'[1]23valor'!$AM91</f>
        <v>0</v>
      </c>
      <c r="AH26" s="38">
        <f>'[1]23valor'!AI91/'[1]23valor'!$AM91</f>
        <v>0</v>
      </c>
      <c r="AI26" s="38">
        <f>'[1]23valor'!AJ91/'[1]23valor'!$AM91</f>
        <v>0</v>
      </c>
      <c r="AJ26" s="38">
        <f>'[1]23valor'!AK91/'[1]23valor'!$AM91</f>
        <v>0</v>
      </c>
      <c r="AK26" s="40">
        <f>'[1]23valor'!AL91/'[1]23valor'!$AM91</f>
        <v>0.9322807617377588</v>
      </c>
      <c r="AL26" s="41">
        <f>'[1]23valor'!AM91/'[1]23valor'!$AM91</f>
        <v>1</v>
      </c>
    </row>
    <row r="27" spans="1:38" ht="15.75" customHeight="1">
      <c r="A27" s="36">
        <v>23</v>
      </c>
      <c r="B27" s="37" t="s">
        <v>72</v>
      </c>
      <c r="C27" s="38">
        <f>'[1]23valor'!D95/'[1]23valor'!$AM95</f>
        <v>0.00021842550161416447</v>
      </c>
      <c r="D27" s="38">
        <f>'[1]23valor'!E95/'[1]23valor'!$AM95</f>
        <v>0.000166003381226765</v>
      </c>
      <c r="E27" s="38">
        <f>'[1]23valor'!F95/'[1]23valor'!$AM95</f>
        <v>1.747404012913316E-05</v>
      </c>
      <c r="F27" s="38">
        <f>'[1]23valor'!G95/'[1]23valor'!$AM95</f>
        <v>6.989616051653264E-05</v>
      </c>
      <c r="G27" s="38">
        <f>'[1]23valor'!H95/'[1]23valor'!$AM95</f>
        <v>0</v>
      </c>
      <c r="H27" s="38">
        <f>'[1]23valor'!I95/'[1]23valor'!$AM95</f>
        <v>0.000958887952086182</v>
      </c>
      <c r="I27" s="38">
        <f>'[1]23valor'!J95/'[1]23valor'!$AM95</f>
        <v>0</v>
      </c>
      <c r="J27" s="38">
        <f>'[1]23valor'!K95/'[1]23valor'!$AM95</f>
        <v>0</v>
      </c>
      <c r="K27" s="38">
        <f>'[1]23valor'!L95/'[1]23valor'!$AM95</f>
        <v>0</v>
      </c>
      <c r="L27" s="38">
        <f>'[1]23valor'!M95/'[1]23valor'!$AM95</f>
        <v>0</v>
      </c>
      <c r="M27" s="38">
        <f>'[1]23valor'!N95/'[1]23valor'!$AM95</f>
        <v>0.0001419765760492069</v>
      </c>
      <c r="N27" s="38">
        <f>'[1]23valor'!O95/'[1]23valor'!$AM95</f>
        <v>0.00010484424077479894</v>
      </c>
      <c r="O27" s="38">
        <f>'[1]23valor'!P95/'[1]23valor'!$AM95</f>
        <v>0</v>
      </c>
      <c r="P27" s="38">
        <f>'[1]23valor'!Q95/'[1]23valor'!$AM95</f>
        <v>0</v>
      </c>
      <c r="Q27" s="38">
        <f>'[1]23valor'!R95/'[1]23valor'!$AM95</f>
        <v>0.0033419101746967163</v>
      </c>
      <c r="R27" s="38">
        <f>'[1]23valor'!S95/'[1]23valor'!$AM95</f>
        <v>0.005530533700870644</v>
      </c>
      <c r="S27" s="38">
        <f>'[1]23valor'!T95/'[1]23valor'!$AM95</f>
        <v>0.0007950688258755586</v>
      </c>
      <c r="T27" s="38">
        <f>'[1]23valor'!U95/'[1]23valor'!$AM95</f>
        <v>0.0008125428660046919</v>
      </c>
      <c r="U27" s="38">
        <f>'[1]23valor'!V95/'[1]23valor'!$AM95</f>
        <v>0</v>
      </c>
      <c r="V27" s="38">
        <f>'[1]23valor'!W95/'[1]23valor'!$AM95</f>
        <v>0.03099457867904994</v>
      </c>
      <c r="W27" s="38">
        <f>'[1]23valor'!X95/'[1]23valor'!$AM95</f>
        <v>0.04941658548518857</v>
      </c>
      <c r="X27" s="38">
        <f>'[1]23valor'!Y95/'[1]23valor'!$AM95</f>
        <v>0.0005810118342936775</v>
      </c>
      <c r="Y27" s="38">
        <f>'[1]23valor'!Z95/'[1]23valor'!$AM95</f>
        <v>0.009359532744166947</v>
      </c>
      <c r="Z27" s="38">
        <f>'[1]23valor'!AA95/'[1]23valor'!$AM95</f>
        <v>0.09371764572257342</v>
      </c>
      <c r="AA27" s="40">
        <f>'[1]23valor'!AB95/'[1]23valor'!$AM95</f>
        <v>0.19622691788511695</v>
      </c>
      <c r="AB27" s="38">
        <f>'[1]23valor'!AC95/'[1]23valor'!$AM95</f>
        <v>0.7430791879813553</v>
      </c>
      <c r="AC27" s="38">
        <f>'[1]23valor'!AD95/'[1]23valor'!$AM95</f>
        <v>0.060693894133527874</v>
      </c>
      <c r="AD27" s="38">
        <f>'[1]23valor'!AE95/'[1]23valor'!$AM95</f>
        <v>0</v>
      </c>
      <c r="AE27" s="38">
        <f>'[1]23valor'!AF95/'[1]23valor'!$AM95</f>
        <v>0</v>
      </c>
      <c r="AF27" s="38">
        <f>'[1]23valor'!AG95/'[1]23valor'!$AM95</f>
        <v>0</v>
      </c>
      <c r="AG27" s="38">
        <f>'[1]23valor'!AH95/'[1]23valor'!$AM95</f>
        <v>0</v>
      </c>
      <c r="AH27" s="38">
        <f>'[1]23valor'!AI95/'[1]23valor'!$AM95</f>
        <v>0</v>
      </c>
      <c r="AI27" s="38">
        <f>'[1]23valor'!AJ95/'[1]23valor'!$AM95</f>
        <v>0</v>
      </c>
      <c r="AJ27" s="38">
        <f>'[1]23valor'!AK95/'[1]23valor'!$AM95</f>
        <v>0</v>
      </c>
      <c r="AK27" s="40">
        <f>'[1]23valor'!AL95/'[1]23valor'!$AM95</f>
        <v>0.8037730821148831</v>
      </c>
      <c r="AL27" s="41">
        <f>'[1]23valor'!AM95/'[1]23valor'!$AM95</f>
        <v>1</v>
      </c>
    </row>
    <row r="28" spans="1:38" s="1" customFormat="1" ht="15.75" customHeight="1" thickBot="1">
      <c r="A28" s="42"/>
      <c r="B28" s="43" t="s">
        <v>73</v>
      </c>
      <c r="C28" s="44">
        <f>'61tio90'!D101/'61tio90'!$AM$101</f>
        <v>0.017286978020248846</v>
      </c>
      <c r="D28" s="44">
        <f>'61tio90'!E101/'61tio90'!$AM$101</f>
        <v>0.022486720451307195</v>
      </c>
      <c r="E28" s="44">
        <f>'61tio90'!F101/'61tio90'!$AM$101</f>
        <v>0.01070736891536571</v>
      </c>
      <c r="F28" s="44">
        <f>'61tio90'!G101/'61tio90'!$AM$101</f>
        <v>0.006621956178723473</v>
      </c>
      <c r="G28" s="44">
        <f>'61tio90'!H101/'61tio90'!$AM$101</f>
        <v>0.005338392458796066</v>
      </c>
      <c r="H28" s="44">
        <f>'61tio90'!I101/'61tio90'!$AM$101</f>
        <v>0.017435115643765</v>
      </c>
      <c r="I28" s="44">
        <f>'61tio90'!J101/'61tio90'!$AM$101</f>
        <v>0.015324279852912955</v>
      </c>
      <c r="J28" s="44">
        <f>'61tio90'!K101/'61tio90'!$AM$101</f>
        <v>0.010480399398471</v>
      </c>
      <c r="K28" s="44">
        <f>'61tio90'!L101/'61tio90'!$AM$101</f>
        <v>0.035250583602842764</v>
      </c>
      <c r="L28" s="44">
        <f>'61tio90'!M101/'61tio90'!$AM$101</f>
        <v>0.008913364829065922</v>
      </c>
      <c r="M28" s="44">
        <f>'61tio90'!N101/'61tio90'!$AM$101</f>
        <v>0.03709414687847299</v>
      </c>
      <c r="N28" s="44">
        <f>'61tio90'!O101/'61tio90'!$AM$101</f>
        <v>0.05703568477609583</v>
      </c>
      <c r="O28" s="44">
        <f>'61tio90'!P101/'61tio90'!$AM$101</f>
        <v>0.012172238276571287</v>
      </c>
      <c r="P28" s="44">
        <f>'61tio90'!Q101/'61tio90'!$AM$101</f>
        <v>0.001307128439523442</v>
      </c>
      <c r="Q28" s="44">
        <f>'61tio90'!R101/'61tio90'!$AM$101</f>
        <v>0.028860456441290764</v>
      </c>
      <c r="R28" s="44">
        <f>'61tio90'!S101/'61tio90'!$AM$101</f>
        <v>0.027489807391006815</v>
      </c>
      <c r="S28" s="44">
        <f>'61tio90'!T101/'61tio90'!$AM$101</f>
        <v>0.012825455389170383</v>
      </c>
      <c r="T28" s="44">
        <f>'61tio90'!U101/'61tio90'!$AM$101</f>
        <v>0.007788891892008639</v>
      </c>
      <c r="U28" s="44">
        <f>'61tio90'!V101/'61tio90'!$AM$101</f>
        <v>0.02249408683664736</v>
      </c>
      <c r="V28" s="44">
        <f>'61tio90'!W101/'61tio90'!$AM$101</f>
        <v>0.010403688715530717</v>
      </c>
      <c r="W28" s="44">
        <f>'61tio90'!X101/'61tio90'!$AM$101</f>
        <v>0.00720852871609843</v>
      </c>
      <c r="X28" s="44">
        <f>'61tio90'!Y101/'61tio90'!$AM$101</f>
        <v>0.002080483197853551</v>
      </c>
      <c r="Y28" s="44">
        <f>'61tio90'!Z101/'61tio90'!$AM$101</f>
        <v>0.005901708816275099</v>
      </c>
      <c r="Z28" s="44">
        <f>'61tio90'!AA101/'61tio90'!$AM$101</f>
        <v>0.006356804873939937</v>
      </c>
      <c r="AA28" s="44">
        <f>'61tio90'!AB101/'61tio90'!$AM$101</f>
        <v>0.38886426999198415</v>
      </c>
      <c r="AB28" s="44">
        <f>'61tio90'!AC101/'61tio90'!$AM$101</f>
        <v>0.20274039562194512</v>
      </c>
      <c r="AC28" s="44">
        <f>'61tio90'!AD101/'61tio90'!$AM$101</f>
        <v>0.036873540992893104</v>
      </c>
      <c r="AD28" s="44">
        <f>'61tio90'!AE101/'61tio90'!$AM$101</f>
        <v>0.07930060375048519</v>
      </c>
      <c r="AE28" s="44">
        <f>'61tio90'!AF101/'61tio90'!$AM$101</f>
        <v>0.007994109360045468</v>
      </c>
      <c r="AF28" s="44">
        <f>'61tio90'!AG101/'61tio90'!$AM$101</f>
        <v>0.08729471311053066</v>
      </c>
      <c r="AG28" s="44">
        <f>'61tio90'!AH101/'61tio90'!$AM$101</f>
        <v>0.2842270802826471</v>
      </c>
      <c r="AH28" s="44">
        <f>'61tio90'!AI101/'61tio90'!$AM$101</f>
        <v>0.16868926010328678</v>
      </c>
      <c r="AI28" s="44">
        <f>'61tio90'!AJ101/'61tio90'!$AM$101</f>
        <v>0.09892577275310593</v>
      </c>
      <c r="AJ28" s="44">
        <f>'61tio90'!AK101/'61tio90'!$AM$101</f>
        <v>0.016612047426254387</v>
      </c>
      <c r="AK28" s="44">
        <f>'61tio90'!AL101/'61tio90'!$AM$101</f>
        <v>0.611135730008016</v>
      </c>
      <c r="AL28" s="45">
        <f>'61tio90'!AM101/'61tio90'!$AM$101</f>
        <v>1</v>
      </c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blackAndWhite="1"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0"/>
  <sheetViews>
    <sheetView showGridLines="0" zoomScale="50" zoomScaleNormal="50" zoomScalePageLayoutView="0" workbookViewId="0" topLeftCell="A1">
      <selection activeCell="B4" sqref="B4"/>
    </sheetView>
  </sheetViews>
  <sheetFormatPr defaultColWidth="11.421875" defaultRowHeight="12.75"/>
  <cols>
    <col min="1" max="1" width="3.00390625" style="2" customWidth="1"/>
    <col min="2" max="2" width="48.7109375" style="52" customWidth="1"/>
    <col min="3" max="3" width="15.28125" style="3" customWidth="1"/>
    <col min="4" max="4" width="11.421875" style="3" customWidth="1"/>
    <col min="5" max="11" width="10.140625" style="3" customWidth="1"/>
    <col min="12" max="12" width="11.421875" style="3" customWidth="1"/>
    <col min="13" max="13" width="10.140625" style="3" customWidth="1"/>
    <col min="14" max="15" width="11.421875" style="3" customWidth="1"/>
    <col min="16" max="18" width="10.140625" style="3" customWidth="1"/>
    <col min="19" max="19" width="11.421875" style="3" customWidth="1"/>
    <col min="20" max="21" width="10.140625" style="3" customWidth="1"/>
    <col min="22" max="22" width="8.7109375" style="3" customWidth="1"/>
    <col min="23" max="27" width="10.140625" style="3" customWidth="1"/>
    <col min="28" max="28" width="13.28125" style="3" customWidth="1"/>
    <col min="29" max="29" width="9.140625" style="3" customWidth="1"/>
    <col min="30" max="30" width="8.140625" style="3" customWidth="1"/>
    <col min="31" max="31" width="9.140625" style="3" customWidth="1"/>
    <col min="32" max="32" width="8.140625" style="3" customWidth="1"/>
    <col min="33" max="36" width="9.140625" style="3" customWidth="1"/>
    <col min="37" max="37" width="8.140625" style="3" customWidth="1"/>
    <col min="38" max="38" width="10.7109375" style="3" customWidth="1"/>
    <col min="39" max="39" width="13.28125" style="3" customWidth="1"/>
    <col min="40" max="16384" width="11.421875" style="3" customWidth="1"/>
  </cols>
  <sheetData>
    <row r="1" spans="1:2" s="69" customFormat="1" ht="20.25" customHeight="1">
      <c r="A1" s="68"/>
      <c r="B1" s="86" t="s">
        <v>103</v>
      </c>
    </row>
    <row r="2" spans="1:39" s="71" customFormat="1" ht="15.75" thickBot="1">
      <c r="A2" s="67"/>
      <c r="B2" s="70"/>
      <c r="C2" s="70"/>
      <c r="D2" s="81" t="s">
        <v>108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s="52" customFormat="1" ht="12.75">
      <c r="A3" s="53"/>
      <c r="B3" s="79" t="s">
        <v>104</v>
      </c>
      <c r="C3" s="54"/>
      <c r="D3" s="55" t="s">
        <v>0</v>
      </c>
      <c r="E3" s="55" t="s">
        <v>1</v>
      </c>
      <c r="F3" s="55" t="s">
        <v>2</v>
      </c>
      <c r="G3" s="55" t="s">
        <v>3</v>
      </c>
      <c r="H3" s="55" t="s">
        <v>4</v>
      </c>
      <c r="I3" s="55" t="s">
        <v>5</v>
      </c>
      <c r="J3" s="55" t="s">
        <v>6</v>
      </c>
      <c r="K3" s="55" t="s">
        <v>7</v>
      </c>
      <c r="L3" s="55" t="s">
        <v>8</v>
      </c>
      <c r="M3" s="55" t="s">
        <v>9</v>
      </c>
      <c r="N3" s="55" t="s">
        <v>10</v>
      </c>
      <c r="O3" s="55" t="s">
        <v>11</v>
      </c>
      <c r="P3" s="55" t="s">
        <v>12</v>
      </c>
      <c r="Q3" s="55" t="s">
        <v>13</v>
      </c>
      <c r="R3" s="55" t="s">
        <v>14</v>
      </c>
      <c r="S3" s="55" t="s">
        <v>15</v>
      </c>
      <c r="T3" s="55" t="s">
        <v>16</v>
      </c>
      <c r="U3" s="55" t="s">
        <v>17</v>
      </c>
      <c r="V3" s="54" t="s">
        <v>18</v>
      </c>
      <c r="W3" s="55" t="s">
        <v>19</v>
      </c>
      <c r="X3" s="55" t="s">
        <v>20</v>
      </c>
      <c r="Y3" s="55" t="s">
        <v>21</v>
      </c>
      <c r="Z3" s="55" t="s">
        <v>22</v>
      </c>
      <c r="AA3" s="55" t="s">
        <v>23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6"/>
    </row>
    <row r="4" spans="1:39" s="4" customFormat="1" ht="228">
      <c r="A4" s="7"/>
      <c r="B4" s="57"/>
      <c r="C4" s="8"/>
      <c r="D4" s="8" t="s">
        <v>24</v>
      </c>
      <c r="E4" s="8" t="s">
        <v>25</v>
      </c>
      <c r="F4" s="8" t="s">
        <v>26</v>
      </c>
      <c r="G4" s="8" t="s">
        <v>27</v>
      </c>
      <c r="H4" s="8" t="s">
        <v>28</v>
      </c>
      <c r="I4" s="8" t="s">
        <v>29</v>
      </c>
      <c r="J4" s="8" t="s">
        <v>30</v>
      </c>
      <c r="K4" s="8" t="s">
        <v>31</v>
      </c>
      <c r="L4" s="8" t="s">
        <v>32</v>
      </c>
      <c r="M4" s="8" t="s">
        <v>33</v>
      </c>
      <c r="N4" s="8" t="s">
        <v>34</v>
      </c>
      <c r="O4" s="8" t="s">
        <v>35</v>
      </c>
      <c r="P4" s="8" t="s">
        <v>36</v>
      </c>
      <c r="Q4" s="8" t="s">
        <v>37</v>
      </c>
      <c r="R4" s="8" t="s">
        <v>38</v>
      </c>
      <c r="S4" s="8" t="s">
        <v>109</v>
      </c>
      <c r="T4" s="8" t="s">
        <v>39</v>
      </c>
      <c r="U4" s="8" t="s">
        <v>40</v>
      </c>
      <c r="V4" s="8" t="s">
        <v>41</v>
      </c>
      <c r="W4" s="8" t="s">
        <v>42</v>
      </c>
      <c r="X4" s="8" t="s">
        <v>43</v>
      </c>
      <c r="Y4" s="8" t="s">
        <v>44</v>
      </c>
      <c r="Z4" s="8" t="s">
        <v>45</v>
      </c>
      <c r="AA4" s="8" t="s">
        <v>46</v>
      </c>
      <c r="AB4" s="8" t="s">
        <v>47</v>
      </c>
      <c r="AC4" s="8" t="s">
        <v>93</v>
      </c>
      <c r="AD4" s="8" t="s">
        <v>94</v>
      </c>
      <c r="AE4" s="8" t="s">
        <v>95</v>
      </c>
      <c r="AF4" s="8" t="s">
        <v>51</v>
      </c>
      <c r="AG4" s="8" t="s">
        <v>96</v>
      </c>
      <c r="AH4" s="8" t="s">
        <v>97</v>
      </c>
      <c r="AI4" s="8" t="s">
        <v>98</v>
      </c>
      <c r="AJ4" s="8" t="s">
        <v>99</v>
      </c>
      <c r="AK4" s="8" t="s">
        <v>100</v>
      </c>
      <c r="AL4" s="8" t="s">
        <v>55</v>
      </c>
      <c r="AM4" s="11" t="s">
        <v>101</v>
      </c>
    </row>
    <row r="5" spans="1:39" ht="12.75">
      <c r="A5" s="58" t="s">
        <v>0</v>
      </c>
      <c r="B5" s="59" t="s">
        <v>24</v>
      </c>
      <c r="C5" s="12" t="s">
        <v>57</v>
      </c>
      <c r="D5" s="12">
        <v>10406.7</v>
      </c>
      <c r="E5" s="12">
        <v>10806.4</v>
      </c>
      <c r="F5" s="12">
        <v>10654.7</v>
      </c>
      <c r="G5" s="12">
        <v>1693.1</v>
      </c>
      <c r="H5" s="12">
        <v>0</v>
      </c>
      <c r="I5" s="12">
        <v>680.2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457.1</v>
      </c>
      <c r="Q5" s="12">
        <v>0</v>
      </c>
      <c r="R5" s="12">
        <v>8.1</v>
      </c>
      <c r="S5" s="12">
        <v>240.1</v>
      </c>
      <c r="T5" s="12">
        <v>0</v>
      </c>
      <c r="U5" s="12">
        <v>0</v>
      </c>
      <c r="V5" s="12">
        <v>0</v>
      </c>
      <c r="W5" s="12">
        <v>0</v>
      </c>
      <c r="X5" s="12">
        <v>4.8</v>
      </c>
      <c r="Y5" s="12">
        <v>4</v>
      </c>
      <c r="Z5" s="12">
        <v>36.8</v>
      </c>
      <c r="AA5" s="12">
        <v>11.3</v>
      </c>
      <c r="AB5" s="12">
        <v>35003.3</v>
      </c>
      <c r="AC5" s="12">
        <v>1226.1</v>
      </c>
      <c r="AD5" s="12">
        <v>0</v>
      </c>
      <c r="AE5" s="12">
        <v>11</v>
      </c>
      <c r="AF5" s="12">
        <v>1098.6</v>
      </c>
      <c r="AG5" s="12">
        <v>1109.6</v>
      </c>
      <c r="AH5" s="12">
        <v>38383.3</v>
      </c>
      <c r="AI5" s="12">
        <v>32678</v>
      </c>
      <c r="AJ5" s="12">
        <v>5417.3</v>
      </c>
      <c r="AK5" s="12">
        <v>288</v>
      </c>
      <c r="AL5" s="12">
        <v>40719</v>
      </c>
      <c r="AM5" s="60">
        <v>75722.3</v>
      </c>
    </row>
    <row r="6" spans="1:39" ht="12.75">
      <c r="A6" s="58"/>
      <c r="B6" s="59"/>
      <c r="C6" s="12" t="s">
        <v>58</v>
      </c>
      <c r="D6" s="12">
        <v>2791.2</v>
      </c>
      <c r="E6" s="12">
        <v>6231.7</v>
      </c>
      <c r="F6" s="12">
        <v>1778.1</v>
      </c>
      <c r="G6" s="12">
        <v>362.7</v>
      </c>
      <c r="H6" s="12">
        <v>0</v>
      </c>
      <c r="I6" s="12">
        <v>827.3</v>
      </c>
      <c r="J6" s="12">
        <v>0</v>
      </c>
      <c r="K6" s="12">
        <v>0</v>
      </c>
      <c r="L6" s="12">
        <v>0</v>
      </c>
      <c r="M6" s="12">
        <v>0</v>
      </c>
      <c r="N6" s="12">
        <v>311.7</v>
      </c>
      <c r="O6" s="12">
        <v>0</v>
      </c>
      <c r="P6" s="12">
        <v>670.5</v>
      </c>
      <c r="Q6" s="12">
        <v>0</v>
      </c>
      <c r="R6" s="12">
        <v>7.3</v>
      </c>
      <c r="S6" s="12">
        <v>1787.5</v>
      </c>
      <c r="T6" s="12">
        <v>0</v>
      </c>
      <c r="U6" s="12">
        <v>0</v>
      </c>
      <c r="V6" s="12">
        <v>0</v>
      </c>
      <c r="W6" s="12">
        <v>0</v>
      </c>
      <c r="X6" s="12">
        <v>41.4</v>
      </c>
      <c r="Y6" s="12">
        <v>5.9</v>
      </c>
      <c r="Z6" s="12">
        <v>154.9</v>
      </c>
      <c r="AA6" s="12">
        <v>75.5</v>
      </c>
      <c r="AB6" s="12">
        <v>15045.7</v>
      </c>
      <c r="AC6" s="12">
        <v>11832.1</v>
      </c>
      <c r="AD6" s="12">
        <v>0</v>
      </c>
      <c r="AE6" s="12">
        <v>324.3</v>
      </c>
      <c r="AF6" s="12">
        <v>0</v>
      </c>
      <c r="AG6" s="12">
        <v>324.3</v>
      </c>
      <c r="AH6" s="12">
        <v>0</v>
      </c>
      <c r="AI6" s="12">
        <v>0</v>
      </c>
      <c r="AJ6" s="12">
        <v>0</v>
      </c>
      <c r="AK6" s="12">
        <v>0</v>
      </c>
      <c r="AL6" s="12">
        <v>12156.4</v>
      </c>
      <c r="AM6" s="60">
        <v>27202.1</v>
      </c>
    </row>
    <row r="7" spans="1:39" ht="12.75">
      <c r="A7" s="58"/>
      <c r="B7" s="59"/>
      <c r="C7" s="12" t="s">
        <v>59</v>
      </c>
      <c r="D7" s="12">
        <v>242</v>
      </c>
      <c r="E7" s="12">
        <v>1326.3</v>
      </c>
      <c r="F7" s="12">
        <v>200.5</v>
      </c>
      <c r="G7" s="12">
        <v>123.4</v>
      </c>
      <c r="H7" s="12">
        <v>0</v>
      </c>
      <c r="I7" s="12">
        <v>801.3</v>
      </c>
      <c r="J7" s="12">
        <v>0</v>
      </c>
      <c r="K7" s="12">
        <v>0</v>
      </c>
      <c r="L7" s="12">
        <v>0</v>
      </c>
      <c r="M7" s="12">
        <v>0</v>
      </c>
      <c r="N7" s="12">
        <v>94.8</v>
      </c>
      <c r="O7" s="12">
        <v>0</v>
      </c>
      <c r="P7" s="12">
        <v>667.7</v>
      </c>
      <c r="Q7" s="12">
        <v>0</v>
      </c>
      <c r="R7" s="12">
        <v>0</v>
      </c>
      <c r="S7" s="12">
        <v>12.6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3468.6</v>
      </c>
      <c r="AC7" s="12">
        <v>258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258</v>
      </c>
      <c r="AM7" s="60">
        <v>3726.6</v>
      </c>
    </row>
    <row r="8" spans="1:39" s="2" customFormat="1" ht="15.75">
      <c r="A8" s="58"/>
      <c r="B8" s="59"/>
      <c r="C8" s="6" t="s">
        <v>60</v>
      </c>
      <c r="D8" s="6">
        <v>13439.9</v>
      </c>
      <c r="E8" s="6">
        <v>18364.4</v>
      </c>
      <c r="F8" s="6">
        <v>12633.3</v>
      </c>
      <c r="G8" s="6">
        <v>2179.2</v>
      </c>
      <c r="H8" s="6">
        <v>0</v>
      </c>
      <c r="I8" s="6">
        <v>2308.8</v>
      </c>
      <c r="J8" s="6">
        <v>0</v>
      </c>
      <c r="K8" s="6">
        <v>0</v>
      </c>
      <c r="L8" s="6">
        <v>0</v>
      </c>
      <c r="M8" s="6">
        <v>0</v>
      </c>
      <c r="N8" s="6">
        <v>406.5</v>
      </c>
      <c r="O8" s="6">
        <v>0</v>
      </c>
      <c r="P8" s="6">
        <v>1795.3</v>
      </c>
      <c r="Q8" s="6">
        <v>0</v>
      </c>
      <c r="R8" s="6">
        <v>15.4</v>
      </c>
      <c r="S8" s="6">
        <v>2040.2</v>
      </c>
      <c r="T8" s="6">
        <v>0</v>
      </c>
      <c r="U8" s="6">
        <v>0</v>
      </c>
      <c r="V8" s="6">
        <v>0</v>
      </c>
      <c r="W8" s="6">
        <v>0</v>
      </c>
      <c r="X8" s="6">
        <v>46.2</v>
      </c>
      <c r="Y8" s="6">
        <v>9.9</v>
      </c>
      <c r="Z8" s="6">
        <v>191.7</v>
      </c>
      <c r="AA8" s="6">
        <v>86.8</v>
      </c>
      <c r="AB8" s="6">
        <v>53517.6</v>
      </c>
      <c r="AC8" s="6">
        <v>13316.2</v>
      </c>
      <c r="AD8" s="6">
        <v>0</v>
      </c>
      <c r="AE8" s="6">
        <v>335.3</v>
      </c>
      <c r="AF8" s="6">
        <v>1098.6</v>
      </c>
      <c r="AG8" s="6">
        <v>1433.9</v>
      </c>
      <c r="AH8" s="6">
        <v>38383.3</v>
      </c>
      <c r="AI8" s="6">
        <v>32678</v>
      </c>
      <c r="AJ8" s="6">
        <v>5417.3</v>
      </c>
      <c r="AK8" s="6">
        <v>288</v>
      </c>
      <c r="AL8" s="6">
        <v>53133.4</v>
      </c>
      <c r="AM8" s="61">
        <v>106651</v>
      </c>
    </row>
    <row r="9" spans="1:39" ht="12.75">
      <c r="A9" s="58" t="s">
        <v>1</v>
      </c>
      <c r="B9" s="59" t="s">
        <v>61</v>
      </c>
      <c r="C9" s="12" t="s">
        <v>57</v>
      </c>
      <c r="D9" s="12">
        <v>10560.7</v>
      </c>
      <c r="E9" s="12">
        <v>4675.2</v>
      </c>
      <c r="F9" s="12">
        <v>0</v>
      </c>
      <c r="G9" s="12">
        <v>83.9</v>
      </c>
      <c r="H9" s="12">
        <v>21.7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1429</v>
      </c>
      <c r="T9" s="12">
        <v>0</v>
      </c>
      <c r="U9" s="12">
        <v>0</v>
      </c>
      <c r="V9" s="12">
        <v>0</v>
      </c>
      <c r="W9" s="12">
        <v>0</v>
      </c>
      <c r="X9" s="12">
        <v>39.3</v>
      </c>
      <c r="Y9" s="12">
        <v>77.5</v>
      </c>
      <c r="Z9" s="12">
        <v>108.7</v>
      </c>
      <c r="AA9" s="12">
        <v>51</v>
      </c>
      <c r="AB9" s="12">
        <v>17047</v>
      </c>
      <c r="AC9" s="12">
        <v>7712.2</v>
      </c>
      <c r="AD9" s="12">
        <v>0</v>
      </c>
      <c r="AE9" s="12">
        <v>0</v>
      </c>
      <c r="AF9" s="12">
        <v>541.4</v>
      </c>
      <c r="AG9" s="12">
        <v>541.4</v>
      </c>
      <c r="AH9" s="12">
        <v>30735.1</v>
      </c>
      <c r="AI9" s="12">
        <v>27014.6</v>
      </c>
      <c r="AJ9" s="12">
        <v>3431.2</v>
      </c>
      <c r="AK9" s="12">
        <v>289.3</v>
      </c>
      <c r="AL9" s="12">
        <v>38988.7</v>
      </c>
      <c r="AM9" s="60">
        <v>56035.7</v>
      </c>
    </row>
    <row r="10" spans="1:39" ht="12.75">
      <c r="A10" s="58"/>
      <c r="B10" s="59"/>
      <c r="C10" s="12" t="s">
        <v>58</v>
      </c>
      <c r="D10" s="12">
        <v>2959</v>
      </c>
      <c r="E10" s="12">
        <v>4389.4</v>
      </c>
      <c r="F10" s="12">
        <v>0</v>
      </c>
      <c r="G10" s="12">
        <v>327.4</v>
      </c>
      <c r="H10" s="12">
        <v>660.3</v>
      </c>
      <c r="I10" s="12">
        <v>168.7</v>
      </c>
      <c r="J10" s="12">
        <v>17.1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1896.9</v>
      </c>
      <c r="T10" s="12">
        <v>0</v>
      </c>
      <c r="U10" s="12">
        <v>0</v>
      </c>
      <c r="V10" s="12">
        <v>0</v>
      </c>
      <c r="W10" s="12">
        <v>0</v>
      </c>
      <c r="X10" s="12">
        <v>41.9</v>
      </c>
      <c r="Y10" s="12">
        <v>65.4</v>
      </c>
      <c r="Z10" s="12">
        <v>128.3</v>
      </c>
      <c r="AA10" s="12">
        <v>45.4</v>
      </c>
      <c r="AB10" s="12">
        <v>10699.8</v>
      </c>
      <c r="AC10" s="12">
        <v>25023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25023</v>
      </c>
      <c r="AM10" s="60">
        <v>35722.8</v>
      </c>
    </row>
    <row r="11" spans="1:39" ht="12.75">
      <c r="A11" s="62"/>
      <c r="B11" s="59"/>
      <c r="C11" s="12" t="s">
        <v>59</v>
      </c>
      <c r="D11" s="12">
        <v>0</v>
      </c>
      <c r="E11" s="12">
        <v>853.7</v>
      </c>
      <c r="F11" s="12">
        <v>0</v>
      </c>
      <c r="G11" s="12">
        <v>275.7</v>
      </c>
      <c r="H11" s="12">
        <v>46.1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186.4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1361.9</v>
      </c>
      <c r="AC11" s="12">
        <v>2407.9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2407.9</v>
      </c>
      <c r="AM11" s="60">
        <v>3769.8</v>
      </c>
    </row>
    <row r="12" spans="1:39" s="2" customFormat="1" ht="15.75">
      <c r="A12" s="62"/>
      <c r="B12" s="59"/>
      <c r="C12" s="6" t="s">
        <v>60</v>
      </c>
      <c r="D12" s="6">
        <v>13519.7</v>
      </c>
      <c r="E12" s="6">
        <v>9918.3</v>
      </c>
      <c r="F12" s="6">
        <v>0</v>
      </c>
      <c r="G12" s="6">
        <v>687</v>
      </c>
      <c r="H12" s="6">
        <v>728.1</v>
      </c>
      <c r="I12" s="6">
        <v>168.7</v>
      </c>
      <c r="J12" s="6">
        <v>17.1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3512.3</v>
      </c>
      <c r="T12" s="6">
        <v>0</v>
      </c>
      <c r="U12" s="6">
        <v>0</v>
      </c>
      <c r="V12" s="6">
        <v>0</v>
      </c>
      <c r="W12" s="6">
        <v>0</v>
      </c>
      <c r="X12" s="6">
        <v>81.2</v>
      </c>
      <c r="Y12" s="6">
        <v>142.9</v>
      </c>
      <c r="Z12" s="6">
        <v>237</v>
      </c>
      <c r="AA12" s="6">
        <v>96.4</v>
      </c>
      <c r="AB12" s="6">
        <v>29108.7</v>
      </c>
      <c r="AC12" s="6">
        <v>35143.1</v>
      </c>
      <c r="AD12" s="6">
        <v>0</v>
      </c>
      <c r="AE12" s="6">
        <v>0</v>
      </c>
      <c r="AF12" s="6">
        <v>541.4</v>
      </c>
      <c r="AG12" s="6">
        <v>541.4</v>
      </c>
      <c r="AH12" s="6">
        <v>30735.1</v>
      </c>
      <c r="AI12" s="6">
        <v>27014.6</v>
      </c>
      <c r="AJ12" s="6">
        <v>3431.2</v>
      </c>
      <c r="AK12" s="6">
        <v>289.3</v>
      </c>
      <c r="AL12" s="6">
        <v>66419.6</v>
      </c>
      <c r="AM12" s="61">
        <v>95528.3</v>
      </c>
    </row>
    <row r="13" spans="1:39" ht="12.75">
      <c r="A13" s="58" t="s">
        <v>2</v>
      </c>
      <c r="B13" s="59" t="s">
        <v>26</v>
      </c>
      <c r="C13" s="12" t="s">
        <v>57</v>
      </c>
      <c r="D13" s="12">
        <v>0</v>
      </c>
      <c r="E13" s="12">
        <v>0</v>
      </c>
      <c r="F13" s="12">
        <v>148.5</v>
      </c>
      <c r="G13" s="12">
        <v>4.1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123.3</v>
      </c>
      <c r="T13" s="12">
        <v>0</v>
      </c>
      <c r="U13" s="12">
        <v>0</v>
      </c>
      <c r="V13" s="12">
        <v>0</v>
      </c>
      <c r="W13" s="12">
        <v>0</v>
      </c>
      <c r="X13" s="12">
        <v>3.9</v>
      </c>
      <c r="Y13" s="12">
        <v>5.7</v>
      </c>
      <c r="Z13" s="12">
        <v>12.7</v>
      </c>
      <c r="AA13" s="12">
        <v>3.7</v>
      </c>
      <c r="AB13" s="12">
        <v>301.9</v>
      </c>
      <c r="AC13" s="12">
        <v>641.3</v>
      </c>
      <c r="AD13" s="12">
        <v>0</v>
      </c>
      <c r="AE13" s="12">
        <v>0</v>
      </c>
      <c r="AF13" s="12">
        <v>754.3</v>
      </c>
      <c r="AG13" s="12">
        <v>754.3</v>
      </c>
      <c r="AH13" s="12">
        <v>23927.5</v>
      </c>
      <c r="AI13" s="12">
        <v>20761.1</v>
      </c>
      <c r="AJ13" s="12">
        <v>3031.2</v>
      </c>
      <c r="AK13" s="12">
        <v>135.2</v>
      </c>
      <c r="AL13" s="12">
        <v>25323.1</v>
      </c>
      <c r="AM13" s="60">
        <v>25625</v>
      </c>
    </row>
    <row r="14" spans="1:39" ht="12.75">
      <c r="A14" s="62"/>
      <c r="B14" s="59"/>
      <c r="C14" s="12" t="s">
        <v>58</v>
      </c>
      <c r="D14" s="12">
        <v>0</v>
      </c>
      <c r="E14" s="12">
        <v>0</v>
      </c>
      <c r="F14" s="12">
        <v>451.6</v>
      </c>
      <c r="G14" s="12">
        <v>6.8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139</v>
      </c>
      <c r="T14" s="12">
        <v>0</v>
      </c>
      <c r="U14" s="12">
        <v>0</v>
      </c>
      <c r="V14" s="12">
        <v>0</v>
      </c>
      <c r="W14" s="12">
        <v>0</v>
      </c>
      <c r="X14" s="12">
        <v>0.6</v>
      </c>
      <c r="Y14" s="12">
        <v>3.7</v>
      </c>
      <c r="Z14" s="12">
        <v>3</v>
      </c>
      <c r="AA14" s="12">
        <v>1.2</v>
      </c>
      <c r="AB14" s="12">
        <v>605.9</v>
      </c>
      <c r="AC14" s="12">
        <v>852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852</v>
      </c>
      <c r="AM14" s="60">
        <v>1457.9</v>
      </c>
    </row>
    <row r="15" spans="1:39" ht="12.75">
      <c r="A15" s="62"/>
      <c r="B15" s="59"/>
      <c r="C15" s="12" t="s">
        <v>59</v>
      </c>
      <c r="D15" s="12">
        <v>0</v>
      </c>
      <c r="E15" s="12">
        <v>0</v>
      </c>
      <c r="F15" s="12">
        <v>884.1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884.1</v>
      </c>
      <c r="AC15" s="12">
        <v>386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386</v>
      </c>
      <c r="AM15" s="60">
        <v>1270.1</v>
      </c>
    </row>
    <row r="16" spans="1:39" s="2" customFormat="1" ht="15.75">
      <c r="A16" s="62"/>
      <c r="B16" s="59"/>
      <c r="C16" s="6" t="s">
        <v>60</v>
      </c>
      <c r="D16" s="6">
        <v>0</v>
      </c>
      <c r="E16" s="6">
        <v>0</v>
      </c>
      <c r="F16" s="6">
        <v>1484.2</v>
      </c>
      <c r="G16" s="6">
        <v>10.9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262.3</v>
      </c>
      <c r="T16" s="6">
        <v>0</v>
      </c>
      <c r="U16" s="6">
        <v>0</v>
      </c>
      <c r="V16" s="6">
        <v>0</v>
      </c>
      <c r="W16" s="6">
        <v>0</v>
      </c>
      <c r="X16" s="6">
        <v>4.5</v>
      </c>
      <c r="Y16" s="6">
        <v>9.4</v>
      </c>
      <c r="Z16" s="6">
        <v>15.7</v>
      </c>
      <c r="AA16" s="6">
        <v>4.9</v>
      </c>
      <c r="AB16" s="6">
        <v>1791.9</v>
      </c>
      <c r="AC16" s="6">
        <v>1879.3</v>
      </c>
      <c r="AD16" s="6">
        <v>0</v>
      </c>
      <c r="AE16" s="6">
        <v>0</v>
      </c>
      <c r="AF16" s="6">
        <v>754.3</v>
      </c>
      <c r="AG16" s="6">
        <v>754.3</v>
      </c>
      <c r="AH16" s="6">
        <v>23927.5</v>
      </c>
      <c r="AI16" s="6">
        <v>20761.1</v>
      </c>
      <c r="AJ16" s="6">
        <v>3031.2</v>
      </c>
      <c r="AK16" s="6">
        <v>135.2</v>
      </c>
      <c r="AL16" s="6">
        <v>26561.1</v>
      </c>
      <c r="AM16" s="61">
        <v>28353</v>
      </c>
    </row>
    <row r="17" spans="1:39" ht="12.75">
      <c r="A17" s="58" t="s">
        <v>3</v>
      </c>
      <c r="B17" s="59" t="s">
        <v>27</v>
      </c>
      <c r="C17" s="12" t="s">
        <v>57</v>
      </c>
      <c r="D17" s="12">
        <v>0</v>
      </c>
      <c r="E17" s="12">
        <v>0</v>
      </c>
      <c r="F17" s="12">
        <v>0</v>
      </c>
      <c r="G17" s="12">
        <v>1146.5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562.9</v>
      </c>
      <c r="T17" s="12">
        <v>0</v>
      </c>
      <c r="U17" s="12">
        <v>0</v>
      </c>
      <c r="V17" s="12">
        <v>0</v>
      </c>
      <c r="W17" s="12">
        <v>0.1</v>
      </c>
      <c r="X17" s="12">
        <v>1.6</v>
      </c>
      <c r="Y17" s="12">
        <v>1.4</v>
      </c>
      <c r="Z17" s="12">
        <v>4.6</v>
      </c>
      <c r="AA17" s="12">
        <v>3.1</v>
      </c>
      <c r="AB17" s="12">
        <v>1720.2</v>
      </c>
      <c r="AC17" s="12">
        <v>371.3</v>
      </c>
      <c r="AD17" s="12">
        <v>0</v>
      </c>
      <c r="AE17" s="12">
        <v>0</v>
      </c>
      <c r="AF17" s="12">
        <v>405.9</v>
      </c>
      <c r="AG17" s="12">
        <v>405.9</v>
      </c>
      <c r="AH17" s="12">
        <v>15245.5</v>
      </c>
      <c r="AI17" s="12">
        <v>8010.8</v>
      </c>
      <c r="AJ17" s="12">
        <v>5911.5</v>
      </c>
      <c r="AK17" s="12">
        <v>1323.2</v>
      </c>
      <c r="AL17" s="12">
        <v>16022.7</v>
      </c>
      <c r="AM17" s="60">
        <v>17742.9</v>
      </c>
    </row>
    <row r="18" spans="1:39" ht="12.75">
      <c r="A18" s="62"/>
      <c r="B18" s="59"/>
      <c r="C18" s="12" t="s">
        <v>58</v>
      </c>
      <c r="D18" s="12">
        <v>0</v>
      </c>
      <c r="E18" s="12">
        <v>0</v>
      </c>
      <c r="F18" s="12">
        <v>0</v>
      </c>
      <c r="G18" s="12">
        <v>1549.4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2782.4</v>
      </c>
      <c r="T18" s="12">
        <v>0</v>
      </c>
      <c r="U18" s="12">
        <v>0</v>
      </c>
      <c r="V18" s="12">
        <v>0</v>
      </c>
      <c r="W18" s="12">
        <v>0.6</v>
      </c>
      <c r="X18" s="12">
        <v>3</v>
      </c>
      <c r="Y18" s="12">
        <v>4.4</v>
      </c>
      <c r="Z18" s="12">
        <v>15.5</v>
      </c>
      <c r="AA18" s="12">
        <v>14</v>
      </c>
      <c r="AB18" s="12">
        <v>4369.3</v>
      </c>
      <c r="AC18" s="12">
        <v>7617.1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7617.1</v>
      </c>
      <c r="AM18" s="60">
        <v>11986.4</v>
      </c>
    </row>
    <row r="19" spans="1:39" ht="12.75">
      <c r="A19" s="62"/>
      <c r="B19" s="59"/>
      <c r="C19" s="12" t="s">
        <v>59</v>
      </c>
      <c r="D19" s="12">
        <v>0</v>
      </c>
      <c r="E19" s="12">
        <v>0</v>
      </c>
      <c r="F19" s="12">
        <v>0</v>
      </c>
      <c r="G19" s="12">
        <v>184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158.7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342.7</v>
      </c>
      <c r="AC19" s="12">
        <v>262.3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262.3</v>
      </c>
      <c r="AM19" s="60">
        <v>605</v>
      </c>
    </row>
    <row r="20" spans="1:39" s="2" customFormat="1" ht="15.75">
      <c r="A20" s="62"/>
      <c r="B20" s="59"/>
      <c r="C20" s="6" t="s">
        <v>60</v>
      </c>
      <c r="D20" s="6">
        <v>0</v>
      </c>
      <c r="E20" s="6">
        <v>0</v>
      </c>
      <c r="F20" s="6">
        <v>0</v>
      </c>
      <c r="G20" s="6">
        <v>2879.9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3504</v>
      </c>
      <c r="T20" s="6">
        <v>0</v>
      </c>
      <c r="U20" s="6">
        <v>0</v>
      </c>
      <c r="V20" s="6">
        <v>0</v>
      </c>
      <c r="W20" s="6">
        <v>0.7</v>
      </c>
      <c r="X20" s="6">
        <v>4.6</v>
      </c>
      <c r="Y20" s="6">
        <v>5.8</v>
      </c>
      <c r="Z20" s="6">
        <v>20.1</v>
      </c>
      <c r="AA20" s="6">
        <v>17.1</v>
      </c>
      <c r="AB20" s="6">
        <v>6432.2</v>
      </c>
      <c r="AC20" s="6">
        <v>8250.7</v>
      </c>
      <c r="AD20" s="6">
        <v>0</v>
      </c>
      <c r="AE20" s="6">
        <v>0</v>
      </c>
      <c r="AF20" s="6">
        <v>405.9</v>
      </c>
      <c r="AG20" s="6">
        <v>405.9</v>
      </c>
      <c r="AH20" s="6">
        <v>15245.5</v>
      </c>
      <c r="AI20" s="6">
        <v>8010.8</v>
      </c>
      <c r="AJ20" s="6">
        <v>5911.5</v>
      </c>
      <c r="AK20" s="6">
        <v>1323.2</v>
      </c>
      <c r="AL20" s="6">
        <v>23902.1</v>
      </c>
      <c r="AM20" s="61">
        <v>30334.3</v>
      </c>
    </row>
    <row r="21" spans="1:39" ht="12.75">
      <c r="A21" s="58" t="s">
        <v>4</v>
      </c>
      <c r="B21" s="59" t="s">
        <v>28</v>
      </c>
      <c r="C21" s="12" t="s">
        <v>57</v>
      </c>
      <c r="D21" s="12">
        <v>35.2</v>
      </c>
      <c r="E21" s="12">
        <v>11.2</v>
      </c>
      <c r="F21" s="12">
        <v>0.1</v>
      </c>
      <c r="G21" s="12">
        <v>1.9</v>
      </c>
      <c r="H21" s="12">
        <v>497</v>
      </c>
      <c r="I21" s="12">
        <v>4.4</v>
      </c>
      <c r="J21" s="12">
        <v>0</v>
      </c>
      <c r="K21" s="12">
        <v>0.1</v>
      </c>
      <c r="L21" s="12">
        <v>0</v>
      </c>
      <c r="M21" s="12">
        <v>1.9</v>
      </c>
      <c r="N21" s="12">
        <v>29.9</v>
      </c>
      <c r="O21" s="12">
        <v>4.7</v>
      </c>
      <c r="P21" s="12">
        <v>20</v>
      </c>
      <c r="Q21" s="12">
        <v>0.8</v>
      </c>
      <c r="R21" s="12">
        <v>4.5</v>
      </c>
      <c r="S21" s="12">
        <v>24.9</v>
      </c>
      <c r="T21" s="12">
        <v>1.4</v>
      </c>
      <c r="U21" s="12">
        <v>2.6</v>
      </c>
      <c r="V21" s="12">
        <v>0</v>
      </c>
      <c r="W21" s="12">
        <v>2.1</v>
      </c>
      <c r="X21" s="12">
        <v>33</v>
      </c>
      <c r="Y21" s="12">
        <v>1</v>
      </c>
      <c r="Z21" s="12">
        <v>28.7</v>
      </c>
      <c r="AA21" s="12">
        <v>5.1</v>
      </c>
      <c r="AB21" s="12">
        <v>710.5</v>
      </c>
      <c r="AC21" s="12">
        <v>633.5</v>
      </c>
      <c r="AD21" s="12">
        <v>0</v>
      </c>
      <c r="AE21" s="12">
        <v>0</v>
      </c>
      <c r="AF21" s="12">
        <v>85.3</v>
      </c>
      <c r="AG21" s="12">
        <v>85.3</v>
      </c>
      <c r="AH21" s="12">
        <v>14559.9</v>
      </c>
      <c r="AI21" s="12">
        <v>12428.3</v>
      </c>
      <c r="AJ21" s="12">
        <v>1994.8</v>
      </c>
      <c r="AK21" s="12">
        <v>136.8</v>
      </c>
      <c r="AL21" s="12">
        <v>15278.7</v>
      </c>
      <c r="AM21" s="60">
        <v>15989.2</v>
      </c>
    </row>
    <row r="22" spans="1:39" ht="12.75">
      <c r="A22" s="62"/>
      <c r="B22" s="59"/>
      <c r="C22" s="12" t="s">
        <v>58</v>
      </c>
      <c r="D22" s="12">
        <v>24.5</v>
      </c>
      <c r="E22" s="12">
        <v>24.7</v>
      </c>
      <c r="F22" s="12">
        <v>0.7</v>
      </c>
      <c r="G22" s="12">
        <v>2.3</v>
      </c>
      <c r="H22" s="12">
        <v>2721.2</v>
      </c>
      <c r="I22" s="12">
        <v>1.3</v>
      </c>
      <c r="J22" s="12">
        <v>66.2</v>
      </c>
      <c r="K22" s="12">
        <v>4.3</v>
      </c>
      <c r="L22" s="12">
        <v>0</v>
      </c>
      <c r="M22" s="12">
        <v>8</v>
      </c>
      <c r="N22" s="12">
        <v>100.1</v>
      </c>
      <c r="O22" s="12">
        <v>197.2</v>
      </c>
      <c r="P22" s="12">
        <v>1082</v>
      </c>
      <c r="Q22" s="12">
        <v>3</v>
      </c>
      <c r="R22" s="12">
        <v>55.2</v>
      </c>
      <c r="S22" s="12">
        <v>162.9</v>
      </c>
      <c r="T22" s="12">
        <v>34.7</v>
      </c>
      <c r="U22" s="12">
        <v>5.7</v>
      </c>
      <c r="V22" s="12">
        <v>0</v>
      </c>
      <c r="W22" s="12">
        <v>9.4</v>
      </c>
      <c r="X22" s="12">
        <v>82.9</v>
      </c>
      <c r="Y22" s="12">
        <v>1.9</v>
      </c>
      <c r="Z22" s="12">
        <v>79</v>
      </c>
      <c r="AA22" s="12">
        <v>34.9</v>
      </c>
      <c r="AB22" s="12">
        <v>4702.1</v>
      </c>
      <c r="AC22" s="12">
        <v>14537.8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14537.8</v>
      </c>
      <c r="AM22" s="60">
        <v>19239.9</v>
      </c>
    </row>
    <row r="23" spans="1:39" ht="12.75">
      <c r="A23" s="62"/>
      <c r="B23" s="59"/>
      <c r="C23" s="12" t="s">
        <v>59</v>
      </c>
      <c r="D23" s="12">
        <v>0</v>
      </c>
      <c r="E23" s="12">
        <v>0</v>
      </c>
      <c r="F23" s="12">
        <v>0</v>
      </c>
      <c r="G23" s="12">
        <v>0</v>
      </c>
      <c r="H23" s="12">
        <v>588.6</v>
      </c>
      <c r="I23" s="12">
        <v>0</v>
      </c>
      <c r="J23" s="12">
        <v>376.4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413.5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1378.5</v>
      </c>
      <c r="AC23" s="12">
        <v>1308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1308</v>
      </c>
      <c r="AM23" s="60">
        <v>2686.5</v>
      </c>
    </row>
    <row r="24" spans="1:39" s="2" customFormat="1" ht="15.75">
      <c r="A24" s="62"/>
      <c r="B24" s="59"/>
      <c r="C24" s="6" t="s">
        <v>60</v>
      </c>
      <c r="D24" s="6">
        <v>59.7</v>
      </c>
      <c r="E24" s="6">
        <v>35.9</v>
      </c>
      <c r="F24" s="6">
        <v>0.8</v>
      </c>
      <c r="G24" s="6">
        <v>4.2</v>
      </c>
      <c r="H24" s="6">
        <v>3806.8</v>
      </c>
      <c r="I24" s="6">
        <v>5.7</v>
      </c>
      <c r="J24" s="6">
        <v>442.6</v>
      </c>
      <c r="K24" s="6">
        <v>4.4</v>
      </c>
      <c r="L24" s="6">
        <v>0</v>
      </c>
      <c r="M24" s="6">
        <v>9.9</v>
      </c>
      <c r="N24" s="6">
        <v>130</v>
      </c>
      <c r="O24" s="6">
        <v>201.9</v>
      </c>
      <c r="P24" s="6">
        <v>1515.5</v>
      </c>
      <c r="Q24" s="6">
        <v>3.8</v>
      </c>
      <c r="R24" s="6">
        <v>59.7</v>
      </c>
      <c r="S24" s="6">
        <v>187.8</v>
      </c>
      <c r="T24" s="6">
        <v>36.1</v>
      </c>
      <c r="U24" s="6">
        <v>8.3</v>
      </c>
      <c r="V24" s="6">
        <v>0</v>
      </c>
      <c r="W24" s="6">
        <v>11.5</v>
      </c>
      <c r="X24" s="6">
        <v>115.9</v>
      </c>
      <c r="Y24" s="6">
        <v>2.9</v>
      </c>
      <c r="Z24" s="6">
        <v>107.7</v>
      </c>
      <c r="AA24" s="6">
        <v>40</v>
      </c>
      <c r="AB24" s="6">
        <v>6791.1</v>
      </c>
      <c r="AC24" s="6">
        <v>16479.3</v>
      </c>
      <c r="AD24" s="6">
        <v>0</v>
      </c>
      <c r="AE24" s="6">
        <v>0</v>
      </c>
      <c r="AF24" s="6">
        <v>85.3</v>
      </c>
      <c r="AG24" s="6">
        <v>85.3</v>
      </c>
      <c r="AH24" s="6">
        <v>14559.9</v>
      </c>
      <c r="AI24" s="6">
        <v>12428.3</v>
      </c>
      <c r="AJ24" s="6">
        <v>1994.8</v>
      </c>
      <c r="AK24" s="6">
        <v>136.8</v>
      </c>
      <c r="AL24" s="6">
        <v>31124.5</v>
      </c>
      <c r="AM24" s="61">
        <v>37915.6</v>
      </c>
    </row>
    <row r="25" spans="1:39" ht="12.75">
      <c r="A25" s="58" t="s">
        <v>5</v>
      </c>
      <c r="B25" s="59" t="s">
        <v>62</v>
      </c>
      <c r="C25" s="12" t="s">
        <v>57</v>
      </c>
      <c r="D25" s="12">
        <v>6.2</v>
      </c>
      <c r="E25" s="12">
        <v>145.7</v>
      </c>
      <c r="F25" s="12">
        <v>27.8</v>
      </c>
      <c r="G25" s="12">
        <v>37</v>
      </c>
      <c r="H25" s="12">
        <v>15.4</v>
      </c>
      <c r="I25" s="12">
        <v>3318.6</v>
      </c>
      <c r="J25" s="12">
        <v>181.3</v>
      </c>
      <c r="K25" s="12">
        <v>38.7</v>
      </c>
      <c r="L25" s="12">
        <v>229.6</v>
      </c>
      <c r="M25" s="12">
        <v>169.4</v>
      </c>
      <c r="N25" s="12">
        <v>296.4</v>
      </c>
      <c r="O25" s="12">
        <v>201.3</v>
      </c>
      <c r="P25" s="12">
        <v>90.3</v>
      </c>
      <c r="Q25" s="12">
        <v>16.6</v>
      </c>
      <c r="R25" s="12">
        <v>44.4</v>
      </c>
      <c r="S25" s="12">
        <v>333.3</v>
      </c>
      <c r="T25" s="12">
        <v>82.1</v>
      </c>
      <c r="U25" s="12">
        <v>305.5</v>
      </c>
      <c r="V25" s="12">
        <v>0</v>
      </c>
      <c r="W25" s="12">
        <v>716.9</v>
      </c>
      <c r="X25" s="12">
        <v>115.4</v>
      </c>
      <c r="Y25" s="12">
        <v>48.5</v>
      </c>
      <c r="Z25" s="12">
        <v>63.8</v>
      </c>
      <c r="AA25" s="12">
        <v>207.2</v>
      </c>
      <c r="AB25" s="12">
        <v>6691.4</v>
      </c>
      <c r="AC25" s="12">
        <v>1185.2</v>
      </c>
      <c r="AD25" s="12">
        <v>0</v>
      </c>
      <c r="AE25" s="12">
        <v>1.8</v>
      </c>
      <c r="AF25" s="12">
        <v>398.1</v>
      </c>
      <c r="AG25" s="12">
        <v>399.9</v>
      </c>
      <c r="AH25" s="12">
        <v>37940.1</v>
      </c>
      <c r="AI25" s="12">
        <v>23289.1</v>
      </c>
      <c r="AJ25" s="12">
        <v>11460.3</v>
      </c>
      <c r="AK25" s="12">
        <v>3190.7</v>
      </c>
      <c r="AL25" s="12">
        <v>39525.2</v>
      </c>
      <c r="AM25" s="60">
        <v>46216.6</v>
      </c>
    </row>
    <row r="26" spans="1:39" ht="12.75">
      <c r="A26" s="62"/>
      <c r="B26" s="59"/>
      <c r="C26" s="12" t="s">
        <v>58</v>
      </c>
      <c r="D26" s="12">
        <v>0</v>
      </c>
      <c r="E26" s="12">
        <v>542.1</v>
      </c>
      <c r="F26" s="12">
        <v>153</v>
      </c>
      <c r="G26" s="12">
        <v>44.3</v>
      </c>
      <c r="H26" s="12">
        <v>69.3</v>
      </c>
      <c r="I26" s="12">
        <v>8516.1</v>
      </c>
      <c r="J26" s="12">
        <v>604.8</v>
      </c>
      <c r="K26" s="12">
        <v>71</v>
      </c>
      <c r="L26" s="12">
        <v>169</v>
      </c>
      <c r="M26" s="12">
        <v>43.3</v>
      </c>
      <c r="N26" s="12">
        <v>228.5</v>
      </c>
      <c r="O26" s="12">
        <v>93</v>
      </c>
      <c r="P26" s="12">
        <v>408.4</v>
      </c>
      <c r="Q26" s="12">
        <v>6.4</v>
      </c>
      <c r="R26" s="12">
        <v>72</v>
      </c>
      <c r="S26" s="12">
        <v>147.8</v>
      </c>
      <c r="T26" s="12">
        <v>56.1</v>
      </c>
      <c r="U26" s="12">
        <v>98.6</v>
      </c>
      <c r="V26" s="12">
        <v>0</v>
      </c>
      <c r="W26" s="12">
        <v>181.3</v>
      </c>
      <c r="X26" s="12">
        <v>220</v>
      </c>
      <c r="Y26" s="12">
        <v>256.7</v>
      </c>
      <c r="Z26" s="12">
        <v>47.3</v>
      </c>
      <c r="AA26" s="12">
        <v>20.2</v>
      </c>
      <c r="AB26" s="12">
        <v>12049.2</v>
      </c>
      <c r="AC26" s="12">
        <v>2066.3</v>
      </c>
      <c r="AD26" s="12">
        <v>0</v>
      </c>
      <c r="AE26" s="12">
        <v>25</v>
      </c>
      <c r="AF26" s="12">
        <v>0</v>
      </c>
      <c r="AG26" s="12">
        <v>25</v>
      </c>
      <c r="AH26" s="12">
        <v>0</v>
      </c>
      <c r="AI26" s="12">
        <v>0</v>
      </c>
      <c r="AJ26" s="12">
        <v>0</v>
      </c>
      <c r="AK26" s="12">
        <v>0</v>
      </c>
      <c r="AL26" s="12">
        <v>2091.3</v>
      </c>
      <c r="AM26" s="60">
        <v>14140.5</v>
      </c>
    </row>
    <row r="27" spans="1:39" ht="12.75">
      <c r="A27" s="62"/>
      <c r="B27" s="59"/>
      <c r="C27" s="12" t="s">
        <v>59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4513.8</v>
      </c>
      <c r="J27" s="12">
        <v>150.3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38.5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8</v>
      </c>
      <c r="X27" s="12">
        <v>3.1</v>
      </c>
      <c r="Y27" s="12">
        <v>2.9</v>
      </c>
      <c r="Z27" s="12">
        <v>0.6</v>
      </c>
      <c r="AA27" s="12">
        <v>0</v>
      </c>
      <c r="AB27" s="12">
        <v>4717.2</v>
      </c>
      <c r="AC27" s="12">
        <v>9.299999999999955</v>
      </c>
      <c r="AD27" s="12">
        <v>0</v>
      </c>
      <c r="AE27" s="12">
        <v>4.1</v>
      </c>
      <c r="AF27" s="12">
        <v>0</v>
      </c>
      <c r="AG27" s="12">
        <v>4.1</v>
      </c>
      <c r="AH27" s="12">
        <v>0</v>
      </c>
      <c r="AI27" s="12">
        <v>0</v>
      </c>
      <c r="AJ27" s="12">
        <v>0</v>
      </c>
      <c r="AK27" s="12">
        <v>0</v>
      </c>
      <c r="AL27" s="12">
        <v>13.4</v>
      </c>
      <c r="AM27" s="60">
        <v>4730.6</v>
      </c>
    </row>
    <row r="28" spans="1:39" s="2" customFormat="1" ht="15.75">
      <c r="A28" s="62"/>
      <c r="B28" s="59"/>
      <c r="C28" s="6" t="s">
        <v>60</v>
      </c>
      <c r="D28" s="6">
        <v>6.2</v>
      </c>
      <c r="E28" s="6">
        <v>687.8</v>
      </c>
      <c r="F28" s="6">
        <v>180.8</v>
      </c>
      <c r="G28" s="6">
        <v>81.3</v>
      </c>
      <c r="H28" s="6">
        <v>84.7</v>
      </c>
      <c r="I28" s="6">
        <v>16348.5</v>
      </c>
      <c r="J28" s="6">
        <v>936.4</v>
      </c>
      <c r="K28" s="6">
        <v>109.7</v>
      </c>
      <c r="L28" s="6">
        <v>398.6</v>
      </c>
      <c r="M28" s="6">
        <v>212.7</v>
      </c>
      <c r="N28" s="6">
        <v>524.9</v>
      </c>
      <c r="O28" s="6">
        <v>294.3</v>
      </c>
      <c r="P28" s="6">
        <v>537.2</v>
      </c>
      <c r="Q28" s="6">
        <v>23</v>
      </c>
      <c r="R28" s="6">
        <v>116.4</v>
      </c>
      <c r="S28" s="6">
        <v>481.1</v>
      </c>
      <c r="T28" s="6">
        <v>138.2</v>
      </c>
      <c r="U28" s="6">
        <v>404.1</v>
      </c>
      <c r="V28" s="6">
        <v>0</v>
      </c>
      <c r="W28" s="6">
        <v>906.2</v>
      </c>
      <c r="X28" s="6">
        <v>338.5</v>
      </c>
      <c r="Y28" s="6">
        <v>308.1</v>
      </c>
      <c r="Z28" s="6">
        <v>111.7</v>
      </c>
      <c r="AA28" s="6">
        <v>227.4</v>
      </c>
      <c r="AB28" s="6">
        <v>23457.8</v>
      </c>
      <c r="AC28" s="6">
        <v>3260.8</v>
      </c>
      <c r="AD28" s="6">
        <v>0</v>
      </c>
      <c r="AE28" s="6">
        <v>30.9</v>
      </c>
      <c r="AF28" s="6">
        <v>398.1</v>
      </c>
      <c r="AG28" s="6">
        <v>429</v>
      </c>
      <c r="AH28" s="6">
        <v>37940.1</v>
      </c>
      <c r="AI28" s="6">
        <v>23289.1</v>
      </c>
      <c r="AJ28" s="6">
        <v>11460.3</v>
      </c>
      <c r="AK28" s="6">
        <v>3190.7</v>
      </c>
      <c r="AL28" s="6">
        <v>41629.9</v>
      </c>
      <c r="AM28" s="61">
        <v>65087.7</v>
      </c>
    </row>
    <row r="29" spans="1:39" ht="12.75">
      <c r="A29" s="58" t="s">
        <v>6</v>
      </c>
      <c r="B29" s="59" t="s">
        <v>63</v>
      </c>
      <c r="C29" s="12" t="s">
        <v>57</v>
      </c>
      <c r="D29" s="12">
        <v>447.4</v>
      </c>
      <c r="E29" s="12">
        <v>93.1</v>
      </c>
      <c r="F29" s="12">
        <v>35</v>
      </c>
      <c r="G29" s="12">
        <v>12</v>
      </c>
      <c r="H29" s="12">
        <v>109.1</v>
      </c>
      <c r="I29" s="12">
        <v>47.1</v>
      </c>
      <c r="J29" s="12">
        <v>367.6</v>
      </c>
      <c r="K29" s="12">
        <v>50.8</v>
      </c>
      <c r="L29" s="12">
        <v>23.8</v>
      </c>
      <c r="M29" s="12">
        <v>19.6</v>
      </c>
      <c r="N29" s="12">
        <v>1665.4</v>
      </c>
      <c r="O29" s="12">
        <v>537.4</v>
      </c>
      <c r="P29" s="12">
        <v>235.7</v>
      </c>
      <c r="Q29" s="12">
        <v>10.7</v>
      </c>
      <c r="R29" s="12">
        <v>395.6</v>
      </c>
      <c r="S29" s="12">
        <v>176.3</v>
      </c>
      <c r="T29" s="12">
        <v>21.1</v>
      </c>
      <c r="U29" s="12">
        <v>11.4</v>
      </c>
      <c r="V29" s="12">
        <v>0</v>
      </c>
      <c r="W29" s="12">
        <v>47.9</v>
      </c>
      <c r="X29" s="12">
        <v>51.6</v>
      </c>
      <c r="Y29" s="12">
        <v>4.5</v>
      </c>
      <c r="Z29" s="12">
        <v>150</v>
      </c>
      <c r="AA29" s="12">
        <v>28.4</v>
      </c>
      <c r="AB29" s="12">
        <v>4541.5</v>
      </c>
      <c r="AC29" s="12">
        <v>529.7</v>
      </c>
      <c r="AD29" s="12">
        <v>0</v>
      </c>
      <c r="AE29" s="12">
        <v>0</v>
      </c>
      <c r="AF29" s="12">
        <v>640.9</v>
      </c>
      <c r="AG29" s="12">
        <v>640.9</v>
      </c>
      <c r="AH29" s="12">
        <v>38809.7</v>
      </c>
      <c r="AI29" s="12">
        <v>30218.1</v>
      </c>
      <c r="AJ29" s="12">
        <v>7061.5</v>
      </c>
      <c r="AK29" s="12">
        <v>1530.1</v>
      </c>
      <c r="AL29" s="12">
        <v>39980.3</v>
      </c>
      <c r="AM29" s="60">
        <v>44521.8</v>
      </c>
    </row>
    <row r="30" spans="1:39" ht="12.75">
      <c r="A30" s="62"/>
      <c r="B30" s="59"/>
      <c r="C30" s="12" t="s">
        <v>58</v>
      </c>
      <c r="D30" s="12">
        <v>2326.3</v>
      </c>
      <c r="E30" s="12">
        <v>628.2</v>
      </c>
      <c r="F30" s="12">
        <v>5.7</v>
      </c>
      <c r="G30" s="12">
        <v>336.7</v>
      </c>
      <c r="H30" s="12">
        <v>1475.1</v>
      </c>
      <c r="I30" s="12">
        <v>2342.9</v>
      </c>
      <c r="J30" s="12">
        <v>7474</v>
      </c>
      <c r="K30" s="12">
        <v>823.4</v>
      </c>
      <c r="L30" s="12">
        <v>32.1</v>
      </c>
      <c r="M30" s="12">
        <v>564.3</v>
      </c>
      <c r="N30" s="12">
        <v>3804.3</v>
      </c>
      <c r="O30" s="12">
        <v>1485.6</v>
      </c>
      <c r="P30" s="12">
        <v>1265.6</v>
      </c>
      <c r="Q30" s="12">
        <v>88.7</v>
      </c>
      <c r="R30" s="12">
        <v>944.6</v>
      </c>
      <c r="S30" s="12">
        <v>900.1</v>
      </c>
      <c r="T30" s="12">
        <v>505.7</v>
      </c>
      <c r="U30" s="12">
        <v>10</v>
      </c>
      <c r="V30" s="12">
        <v>0</v>
      </c>
      <c r="W30" s="12">
        <v>166.9</v>
      </c>
      <c r="X30" s="12">
        <v>101</v>
      </c>
      <c r="Y30" s="12">
        <v>17.5</v>
      </c>
      <c r="Z30" s="12">
        <v>1838.1</v>
      </c>
      <c r="AA30" s="12">
        <v>143.6</v>
      </c>
      <c r="AB30" s="12">
        <v>27280.4</v>
      </c>
      <c r="AC30" s="12">
        <v>9497.8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9497.8</v>
      </c>
      <c r="AM30" s="60">
        <v>36778.2</v>
      </c>
    </row>
    <row r="31" spans="1:39" ht="12.75">
      <c r="A31" s="62"/>
      <c r="B31" s="59"/>
      <c r="C31" s="12" t="s">
        <v>59</v>
      </c>
      <c r="D31" s="12">
        <v>3626</v>
      </c>
      <c r="E31" s="12">
        <v>0</v>
      </c>
      <c r="F31" s="12">
        <v>0</v>
      </c>
      <c r="G31" s="12">
        <v>259</v>
      </c>
      <c r="H31" s="12">
        <v>155.6</v>
      </c>
      <c r="I31" s="12">
        <v>67.4</v>
      </c>
      <c r="J31" s="12">
        <v>7297.9</v>
      </c>
      <c r="K31" s="12">
        <v>0</v>
      </c>
      <c r="L31" s="12">
        <v>0</v>
      </c>
      <c r="M31" s="12">
        <v>56.5</v>
      </c>
      <c r="N31" s="12">
        <v>1327.6</v>
      </c>
      <c r="O31" s="12">
        <v>241.8</v>
      </c>
      <c r="P31" s="12">
        <v>215.2</v>
      </c>
      <c r="Q31" s="12">
        <v>0</v>
      </c>
      <c r="R31" s="12">
        <v>5.5</v>
      </c>
      <c r="S31" s="12">
        <v>34.5</v>
      </c>
      <c r="T31" s="12">
        <v>77.6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985.3</v>
      </c>
      <c r="AA31" s="12">
        <v>0.8</v>
      </c>
      <c r="AB31" s="12">
        <v>14350.7</v>
      </c>
      <c r="AC31" s="12">
        <v>482.2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482.2</v>
      </c>
      <c r="AM31" s="60">
        <v>14832.9</v>
      </c>
    </row>
    <row r="32" spans="1:39" s="2" customFormat="1" ht="15.75">
      <c r="A32" s="62"/>
      <c r="B32" s="59"/>
      <c r="C32" s="6" t="s">
        <v>60</v>
      </c>
      <c r="D32" s="6">
        <v>6399.7</v>
      </c>
      <c r="E32" s="6">
        <v>721.3</v>
      </c>
      <c r="F32" s="6">
        <v>40.7</v>
      </c>
      <c r="G32" s="6">
        <v>607.7</v>
      </c>
      <c r="H32" s="6">
        <v>1739.8</v>
      </c>
      <c r="I32" s="6">
        <v>2457.4</v>
      </c>
      <c r="J32" s="6">
        <v>15139.5</v>
      </c>
      <c r="K32" s="6">
        <v>874.2</v>
      </c>
      <c r="L32" s="6">
        <v>55.9</v>
      </c>
      <c r="M32" s="6">
        <v>640.4</v>
      </c>
      <c r="N32" s="6">
        <v>6797.3</v>
      </c>
      <c r="O32" s="6">
        <v>2264.8</v>
      </c>
      <c r="P32" s="6">
        <v>1716.5</v>
      </c>
      <c r="Q32" s="6">
        <v>99.4</v>
      </c>
      <c r="R32" s="6">
        <v>1345.7</v>
      </c>
      <c r="S32" s="6">
        <v>1110.9</v>
      </c>
      <c r="T32" s="6">
        <v>604.4</v>
      </c>
      <c r="U32" s="6">
        <v>21.4</v>
      </c>
      <c r="V32" s="6">
        <v>0</v>
      </c>
      <c r="W32" s="6">
        <v>214.8</v>
      </c>
      <c r="X32" s="6">
        <v>152.6</v>
      </c>
      <c r="Y32" s="6">
        <v>22</v>
      </c>
      <c r="Z32" s="6">
        <v>2973.4</v>
      </c>
      <c r="AA32" s="6">
        <v>172.8</v>
      </c>
      <c r="AB32" s="6">
        <v>46172.6</v>
      </c>
      <c r="AC32" s="6">
        <v>10509.7</v>
      </c>
      <c r="AD32" s="6">
        <v>0</v>
      </c>
      <c r="AE32" s="6">
        <v>0</v>
      </c>
      <c r="AF32" s="6">
        <v>640.9</v>
      </c>
      <c r="AG32" s="6">
        <v>640.9</v>
      </c>
      <c r="AH32" s="6">
        <v>38809.7</v>
      </c>
      <c r="AI32" s="6">
        <v>30218.1</v>
      </c>
      <c r="AJ32" s="6">
        <v>7061.5</v>
      </c>
      <c r="AK32" s="6">
        <v>1530.1</v>
      </c>
      <c r="AL32" s="6">
        <v>49960.3</v>
      </c>
      <c r="AM32" s="61">
        <v>96132.9</v>
      </c>
    </row>
    <row r="33" spans="1:39" ht="12.75">
      <c r="A33" s="58" t="s">
        <v>7</v>
      </c>
      <c r="B33" s="59" t="s">
        <v>64</v>
      </c>
      <c r="C33" s="12" t="s">
        <v>57</v>
      </c>
      <c r="D33" s="12">
        <v>11.9</v>
      </c>
      <c r="E33" s="12">
        <v>756.7</v>
      </c>
      <c r="F33" s="12">
        <v>0</v>
      </c>
      <c r="G33" s="12">
        <v>51.6</v>
      </c>
      <c r="H33" s="12">
        <v>0</v>
      </c>
      <c r="I33" s="12">
        <v>0</v>
      </c>
      <c r="J33" s="12">
        <v>6.8</v>
      </c>
      <c r="K33" s="12">
        <v>3765.7</v>
      </c>
      <c r="L33" s="12">
        <v>21.5</v>
      </c>
      <c r="M33" s="12">
        <v>42.5</v>
      </c>
      <c r="N33" s="12">
        <v>48.7</v>
      </c>
      <c r="O33" s="12">
        <v>1167</v>
      </c>
      <c r="P33" s="12">
        <v>27.8</v>
      </c>
      <c r="Q33" s="12">
        <v>189.2</v>
      </c>
      <c r="R33" s="12">
        <v>9846.7</v>
      </c>
      <c r="S33" s="12">
        <v>64.6</v>
      </c>
      <c r="T33" s="12">
        <v>9.8</v>
      </c>
      <c r="U33" s="12">
        <v>0.2</v>
      </c>
      <c r="V33" s="12">
        <v>0</v>
      </c>
      <c r="W33" s="12">
        <v>7.2</v>
      </c>
      <c r="X33" s="12">
        <v>12.8</v>
      </c>
      <c r="Y33" s="12">
        <v>0.6</v>
      </c>
      <c r="Z33" s="12">
        <v>5.9</v>
      </c>
      <c r="AA33" s="12">
        <v>2.8</v>
      </c>
      <c r="AB33" s="12">
        <v>16040</v>
      </c>
      <c r="AC33" s="12">
        <v>107.1</v>
      </c>
      <c r="AD33" s="12">
        <v>0</v>
      </c>
      <c r="AE33" s="12">
        <v>0</v>
      </c>
      <c r="AF33" s="12">
        <v>15.4</v>
      </c>
      <c r="AG33" s="12">
        <v>15.4</v>
      </c>
      <c r="AH33" s="12">
        <v>21598.5</v>
      </c>
      <c r="AI33" s="12">
        <v>18298.7</v>
      </c>
      <c r="AJ33" s="12">
        <v>3007.5</v>
      </c>
      <c r="AK33" s="12">
        <v>292.3</v>
      </c>
      <c r="AL33" s="12">
        <v>21721</v>
      </c>
      <c r="AM33" s="60">
        <v>37761</v>
      </c>
    </row>
    <row r="34" spans="1:39" ht="12.75">
      <c r="A34" s="62"/>
      <c r="B34" s="59"/>
      <c r="C34" s="12" t="s">
        <v>58</v>
      </c>
      <c r="D34" s="12">
        <v>0</v>
      </c>
      <c r="E34" s="12">
        <v>15.7</v>
      </c>
      <c r="F34" s="12">
        <v>205.7</v>
      </c>
      <c r="G34" s="12">
        <v>494.7</v>
      </c>
      <c r="H34" s="12">
        <v>0</v>
      </c>
      <c r="I34" s="12">
        <v>0</v>
      </c>
      <c r="J34" s="12">
        <v>321</v>
      </c>
      <c r="K34" s="12">
        <v>2433.7</v>
      </c>
      <c r="L34" s="12">
        <v>190.7</v>
      </c>
      <c r="M34" s="12">
        <v>6.4</v>
      </c>
      <c r="N34" s="12">
        <v>88.6</v>
      </c>
      <c r="O34" s="12">
        <v>108.7</v>
      </c>
      <c r="P34" s="12">
        <v>61.2</v>
      </c>
      <c r="Q34" s="12">
        <v>4.9</v>
      </c>
      <c r="R34" s="12">
        <v>3896.4</v>
      </c>
      <c r="S34" s="12">
        <v>88.4</v>
      </c>
      <c r="T34" s="12">
        <v>3.4</v>
      </c>
      <c r="U34" s="12">
        <v>0.2</v>
      </c>
      <c r="V34" s="12">
        <v>0</v>
      </c>
      <c r="W34" s="12">
        <v>9.2</v>
      </c>
      <c r="X34" s="12">
        <v>7.9</v>
      </c>
      <c r="Y34" s="12">
        <v>0</v>
      </c>
      <c r="Z34" s="12">
        <v>34.6</v>
      </c>
      <c r="AA34" s="12">
        <v>1.2</v>
      </c>
      <c r="AB34" s="12">
        <v>7972.6</v>
      </c>
      <c r="AC34" s="12">
        <v>420.1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420.1</v>
      </c>
      <c r="AM34" s="60">
        <v>8392.7</v>
      </c>
    </row>
    <row r="35" spans="1:39" ht="12.75">
      <c r="A35" s="62"/>
      <c r="B35" s="59"/>
      <c r="C35" s="12" t="s">
        <v>59</v>
      </c>
      <c r="D35" s="12">
        <v>0</v>
      </c>
      <c r="E35" s="12">
        <v>0</v>
      </c>
      <c r="F35" s="12">
        <v>0</v>
      </c>
      <c r="G35" s="12">
        <v>0.9</v>
      </c>
      <c r="H35" s="12">
        <v>0</v>
      </c>
      <c r="I35" s="12">
        <v>0</v>
      </c>
      <c r="J35" s="12">
        <v>210.2</v>
      </c>
      <c r="K35" s="12">
        <v>607</v>
      </c>
      <c r="L35" s="12">
        <v>10.7</v>
      </c>
      <c r="M35" s="12">
        <v>0</v>
      </c>
      <c r="N35" s="12">
        <v>220.9</v>
      </c>
      <c r="O35" s="12">
        <v>9.1</v>
      </c>
      <c r="P35" s="12">
        <v>0</v>
      </c>
      <c r="Q35" s="12">
        <v>0</v>
      </c>
      <c r="R35" s="12">
        <v>9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8</v>
      </c>
      <c r="AA35" s="12">
        <v>0</v>
      </c>
      <c r="AB35" s="12">
        <v>1075.8</v>
      </c>
      <c r="AC35" s="12">
        <v>5.199999999999989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5.199999999999989</v>
      </c>
      <c r="AM35" s="60">
        <v>1081</v>
      </c>
    </row>
    <row r="36" spans="1:39" s="2" customFormat="1" ht="15.75">
      <c r="A36" s="62"/>
      <c r="B36" s="59"/>
      <c r="C36" s="6" t="s">
        <v>60</v>
      </c>
      <c r="D36" s="6">
        <v>11.9</v>
      </c>
      <c r="E36" s="6">
        <v>772.4</v>
      </c>
      <c r="F36" s="6">
        <v>205.7</v>
      </c>
      <c r="G36" s="6">
        <v>547.2</v>
      </c>
      <c r="H36" s="6">
        <v>0</v>
      </c>
      <c r="I36" s="6">
        <v>0</v>
      </c>
      <c r="J36" s="6">
        <v>538</v>
      </c>
      <c r="K36" s="6">
        <v>6806.4</v>
      </c>
      <c r="L36" s="6">
        <v>222.9</v>
      </c>
      <c r="M36" s="6">
        <v>48.9</v>
      </c>
      <c r="N36" s="6">
        <v>358.2</v>
      </c>
      <c r="O36" s="6">
        <v>1284.8</v>
      </c>
      <c r="P36" s="6">
        <v>89</v>
      </c>
      <c r="Q36" s="6">
        <v>194.1</v>
      </c>
      <c r="R36" s="6">
        <v>13752.1</v>
      </c>
      <c r="S36" s="6">
        <v>153</v>
      </c>
      <c r="T36" s="6">
        <v>13.2</v>
      </c>
      <c r="U36" s="6">
        <v>0.4</v>
      </c>
      <c r="V36" s="6">
        <v>0</v>
      </c>
      <c r="W36" s="6">
        <v>16.4</v>
      </c>
      <c r="X36" s="6">
        <v>20.7</v>
      </c>
      <c r="Y36" s="6">
        <v>0.6</v>
      </c>
      <c r="Z36" s="6">
        <v>48.5</v>
      </c>
      <c r="AA36" s="6">
        <v>4</v>
      </c>
      <c r="AB36" s="6">
        <v>25088.4</v>
      </c>
      <c r="AC36" s="6">
        <v>532.4</v>
      </c>
      <c r="AD36" s="6">
        <v>0</v>
      </c>
      <c r="AE36" s="6">
        <v>0</v>
      </c>
      <c r="AF36" s="6">
        <v>15.4</v>
      </c>
      <c r="AG36" s="6">
        <v>15.4</v>
      </c>
      <c r="AH36" s="6">
        <v>21598.5</v>
      </c>
      <c r="AI36" s="6">
        <v>18298.7</v>
      </c>
      <c r="AJ36" s="6">
        <v>3007.5</v>
      </c>
      <c r="AK36" s="6">
        <v>292.3</v>
      </c>
      <c r="AL36" s="6">
        <v>22146.3</v>
      </c>
      <c r="AM36" s="61">
        <v>47234.7</v>
      </c>
    </row>
    <row r="37" spans="1:39" ht="12.75">
      <c r="A37" s="58" t="s">
        <v>8</v>
      </c>
      <c r="B37" s="59" t="s">
        <v>32</v>
      </c>
      <c r="C37" s="12" t="s">
        <v>57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79.2</v>
      </c>
      <c r="K37" s="12">
        <v>33.2</v>
      </c>
      <c r="L37" s="12">
        <v>254.6</v>
      </c>
      <c r="M37" s="12">
        <v>2302.2</v>
      </c>
      <c r="N37" s="12">
        <v>5242.4</v>
      </c>
      <c r="O37" s="12">
        <v>907.8</v>
      </c>
      <c r="P37" s="12">
        <v>463.2</v>
      </c>
      <c r="Q37" s="12">
        <v>0</v>
      </c>
      <c r="R37" s="12">
        <v>4091.8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14.4</v>
      </c>
      <c r="Y37" s="12">
        <v>0</v>
      </c>
      <c r="Z37" s="12">
        <v>0</v>
      </c>
      <c r="AA37" s="12">
        <v>0</v>
      </c>
      <c r="AB37" s="12">
        <v>13388.8</v>
      </c>
      <c r="AC37" s="12">
        <v>0</v>
      </c>
      <c r="AD37" s="12">
        <v>0</v>
      </c>
      <c r="AE37" s="12">
        <v>0</v>
      </c>
      <c r="AF37" s="12">
        <v>9978.2</v>
      </c>
      <c r="AG37" s="12">
        <v>9978.2</v>
      </c>
      <c r="AH37" s="12">
        <v>52611.8</v>
      </c>
      <c r="AI37" s="12">
        <v>44626</v>
      </c>
      <c r="AJ37" s="12">
        <v>6387.2</v>
      </c>
      <c r="AK37" s="12">
        <v>1598.6</v>
      </c>
      <c r="AL37" s="12">
        <v>62590</v>
      </c>
      <c r="AM37" s="60">
        <v>75978.8</v>
      </c>
    </row>
    <row r="38" spans="1:39" ht="12.75">
      <c r="A38" s="62"/>
      <c r="B38" s="59"/>
      <c r="C38" s="12" t="s">
        <v>58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15.5</v>
      </c>
      <c r="J38" s="12">
        <v>155.3</v>
      </c>
      <c r="K38" s="12">
        <v>789.7</v>
      </c>
      <c r="L38" s="12">
        <v>29653.2</v>
      </c>
      <c r="M38" s="12">
        <v>4942.9</v>
      </c>
      <c r="N38" s="12">
        <v>5361.3</v>
      </c>
      <c r="O38" s="12">
        <v>3369.6</v>
      </c>
      <c r="P38" s="12">
        <v>994.9</v>
      </c>
      <c r="Q38" s="12">
        <v>11</v>
      </c>
      <c r="R38" s="12">
        <v>458.4</v>
      </c>
      <c r="S38" s="12">
        <v>0</v>
      </c>
      <c r="T38" s="12">
        <v>20.6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45772.4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60">
        <v>45772.4</v>
      </c>
    </row>
    <row r="39" spans="1:39" ht="12.75">
      <c r="A39" s="62"/>
      <c r="B39" s="59"/>
      <c r="C39" s="12" t="s">
        <v>59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53.5</v>
      </c>
      <c r="L39" s="12">
        <v>12884.5</v>
      </c>
      <c r="M39" s="12">
        <v>1970.8</v>
      </c>
      <c r="N39" s="12">
        <v>5356.9</v>
      </c>
      <c r="O39" s="12">
        <v>1321.5</v>
      </c>
      <c r="P39" s="12">
        <v>33.3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21620.5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60">
        <v>21620.5</v>
      </c>
    </row>
    <row r="40" spans="1:39" s="2" customFormat="1" ht="15.75">
      <c r="A40" s="62"/>
      <c r="B40" s="59"/>
      <c r="C40" s="6" t="s">
        <v>60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15.5</v>
      </c>
      <c r="J40" s="6">
        <v>234.5</v>
      </c>
      <c r="K40" s="6">
        <v>876.4</v>
      </c>
      <c r="L40" s="6">
        <v>42792.3</v>
      </c>
      <c r="M40" s="6">
        <v>9215.9</v>
      </c>
      <c r="N40" s="6">
        <v>15960.6</v>
      </c>
      <c r="O40" s="6">
        <v>5598.9</v>
      </c>
      <c r="P40" s="6">
        <v>1491.4</v>
      </c>
      <c r="Q40" s="6">
        <v>11</v>
      </c>
      <c r="R40" s="6">
        <v>4550.2</v>
      </c>
      <c r="S40" s="6">
        <v>0</v>
      </c>
      <c r="T40" s="6">
        <v>20.6</v>
      </c>
      <c r="U40" s="6">
        <v>0</v>
      </c>
      <c r="V40" s="6">
        <v>0</v>
      </c>
      <c r="W40" s="6">
        <v>0</v>
      </c>
      <c r="X40" s="6">
        <v>14.4</v>
      </c>
      <c r="Y40" s="6">
        <v>0</v>
      </c>
      <c r="Z40" s="6">
        <v>0</v>
      </c>
      <c r="AA40" s="6">
        <v>0</v>
      </c>
      <c r="AB40" s="6">
        <v>80781.7</v>
      </c>
      <c r="AC40" s="6">
        <v>0</v>
      </c>
      <c r="AD40" s="6">
        <v>0</v>
      </c>
      <c r="AE40" s="6">
        <v>0</v>
      </c>
      <c r="AF40" s="6">
        <v>9978.2</v>
      </c>
      <c r="AG40" s="6">
        <v>9978.2</v>
      </c>
      <c r="AH40" s="6">
        <v>52611.8</v>
      </c>
      <c r="AI40" s="6">
        <v>44626</v>
      </c>
      <c r="AJ40" s="6">
        <v>6387.2</v>
      </c>
      <c r="AK40" s="6">
        <v>1598.6</v>
      </c>
      <c r="AL40" s="6">
        <v>62590</v>
      </c>
      <c r="AM40" s="61">
        <v>143371.7</v>
      </c>
    </row>
    <row r="41" spans="1:39" ht="12.75">
      <c r="A41" s="58" t="s">
        <v>9</v>
      </c>
      <c r="B41" s="59" t="s">
        <v>65</v>
      </c>
      <c r="C41" s="12" t="s">
        <v>57</v>
      </c>
      <c r="D41" s="12">
        <v>1.2</v>
      </c>
      <c r="E41" s="12">
        <v>23.5</v>
      </c>
      <c r="F41" s="12">
        <v>13.1</v>
      </c>
      <c r="G41" s="12">
        <v>60.3</v>
      </c>
      <c r="H41" s="12">
        <v>4.5</v>
      </c>
      <c r="I41" s="12">
        <v>6.1</v>
      </c>
      <c r="J41" s="12">
        <v>39.4</v>
      </c>
      <c r="K41" s="12">
        <v>10.4</v>
      </c>
      <c r="L41" s="12">
        <v>50.9</v>
      </c>
      <c r="M41" s="12">
        <v>335.9</v>
      </c>
      <c r="N41" s="12">
        <v>709.3</v>
      </c>
      <c r="O41" s="12">
        <v>338</v>
      </c>
      <c r="P41" s="12">
        <v>62.1</v>
      </c>
      <c r="Q41" s="12">
        <v>13.6</v>
      </c>
      <c r="R41" s="12">
        <v>1791.8</v>
      </c>
      <c r="S41" s="12">
        <v>2.7</v>
      </c>
      <c r="T41" s="12">
        <v>5.7</v>
      </c>
      <c r="U41" s="12">
        <v>0</v>
      </c>
      <c r="V41" s="12">
        <v>0</v>
      </c>
      <c r="W41" s="12">
        <v>5.3</v>
      </c>
      <c r="X41" s="12">
        <v>11</v>
      </c>
      <c r="Y41" s="12">
        <v>0.5</v>
      </c>
      <c r="Z41" s="12">
        <v>2.5</v>
      </c>
      <c r="AA41" s="12">
        <v>2.1</v>
      </c>
      <c r="AB41" s="12">
        <v>3489.9</v>
      </c>
      <c r="AC41" s="12">
        <v>40.5</v>
      </c>
      <c r="AD41" s="12">
        <v>0</v>
      </c>
      <c r="AE41" s="12">
        <v>1969.5</v>
      </c>
      <c r="AF41" s="12">
        <v>940.3</v>
      </c>
      <c r="AG41" s="12">
        <v>2909.8</v>
      </c>
      <c r="AH41" s="12">
        <v>21269.1</v>
      </c>
      <c r="AI41" s="12">
        <v>17683.6</v>
      </c>
      <c r="AJ41" s="12">
        <v>2267.4</v>
      </c>
      <c r="AK41" s="12">
        <v>1318.1</v>
      </c>
      <c r="AL41" s="12">
        <v>24219.4</v>
      </c>
      <c r="AM41" s="60">
        <v>27709.3</v>
      </c>
    </row>
    <row r="42" spans="1:39" ht="12.75">
      <c r="A42" s="62"/>
      <c r="B42" s="59"/>
      <c r="C42" s="12" t="s">
        <v>58</v>
      </c>
      <c r="D42" s="12">
        <v>9.7</v>
      </c>
      <c r="E42" s="12">
        <v>160.3</v>
      </c>
      <c r="F42" s="12">
        <v>204.5</v>
      </c>
      <c r="G42" s="12">
        <v>321</v>
      </c>
      <c r="H42" s="12">
        <v>16.3</v>
      </c>
      <c r="I42" s="12">
        <v>26.2</v>
      </c>
      <c r="J42" s="12">
        <v>28.7</v>
      </c>
      <c r="K42" s="12">
        <v>13.1</v>
      </c>
      <c r="L42" s="12">
        <v>23</v>
      </c>
      <c r="M42" s="12">
        <v>761.3</v>
      </c>
      <c r="N42" s="12">
        <v>967.2</v>
      </c>
      <c r="O42" s="12">
        <v>1116</v>
      </c>
      <c r="P42" s="12">
        <v>268.7</v>
      </c>
      <c r="Q42" s="12">
        <v>72</v>
      </c>
      <c r="R42" s="12">
        <v>2415.2</v>
      </c>
      <c r="S42" s="12">
        <v>23.7</v>
      </c>
      <c r="T42" s="12">
        <v>10.5</v>
      </c>
      <c r="U42" s="12">
        <v>0</v>
      </c>
      <c r="V42" s="12">
        <v>0</v>
      </c>
      <c r="W42" s="12">
        <v>0.9</v>
      </c>
      <c r="X42" s="12">
        <v>47.2</v>
      </c>
      <c r="Y42" s="12">
        <v>3.8</v>
      </c>
      <c r="Z42" s="12">
        <v>3.4</v>
      </c>
      <c r="AA42" s="12">
        <v>1.3</v>
      </c>
      <c r="AB42" s="12">
        <v>6494</v>
      </c>
      <c r="AC42" s="12">
        <v>1017.2</v>
      </c>
      <c r="AD42" s="12">
        <v>0</v>
      </c>
      <c r="AE42" s="12">
        <v>4214.7</v>
      </c>
      <c r="AF42" s="12">
        <v>0</v>
      </c>
      <c r="AG42" s="12">
        <v>4214.7</v>
      </c>
      <c r="AH42" s="12">
        <v>0</v>
      </c>
      <c r="AI42" s="12">
        <v>0</v>
      </c>
      <c r="AJ42" s="12">
        <v>0</v>
      </c>
      <c r="AK42" s="12">
        <v>0</v>
      </c>
      <c r="AL42" s="12">
        <v>5231.9</v>
      </c>
      <c r="AM42" s="60">
        <v>11725.9</v>
      </c>
    </row>
    <row r="43" spans="1:39" ht="12.75">
      <c r="A43" s="62"/>
      <c r="B43" s="59"/>
      <c r="C43" s="12" t="s">
        <v>59</v>
      </c>
      <c r="D43" s="12">
        <v>1</v>
      </c>
      <c r="E43" s="12">
        <v>12.2</v>
      </c>
      <c r="F43" s="12">
        <v>26.5</v>
      </c>
      <c r="G43" s="12">
        <v>32</v>
      </c>
      <c r="H43" s="12">
        <v>0</v>
      </c>
      <c r="I43" s="12">
        <v>0</v>
      </c>
      <c r="J43" s="12">
        <v>3.9</v>
      </c>
      <c r="K43" s="12">
        <v>0</v>
      </c>
      <c r="L43" s="12">
        <v>9.8</v>
      </c>
      <c r="M43" s="12">
        <v>194.6</v>
      </c>
      <c r="N43" s="12">
        <v>332.7</v>
      </c>
      <c r="O43" s="12">
        <v>354</v>
      </c>
      <c r="P43" s="12">
        <v>140.7</v>
      </c>
      <c r="Q43" s="12">
        <v>0</v>
      </c>
      <c r="R43" s="12">
        <v>257</v>
      </c>
      <c r="S43" s="12">
        <v>0.8</v>
      </c>
      <c r="T43" s="12">
        <v>0.9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45.8</v>
      </c>
      <c r="AA43" s="12">
        <v>0</v>
      </c>
      <c r="AB43" s="12">
        <v>1411.9</v>
      </c>
      <c r="AC43" s="12">
        <v>118.8</v>
      </c>
      <c r="AD43" s="12">
        <v>0</v>
      </c>
      <c r="AE43" s="12">
        <v>657.1</v>
      </c>
      <c r="AF43" s="12">
        <v>0</v>
      </c>
      <c r="AG43" s="12">
        <v>657.1</v>
      </c>
      <c r="AH43" s="12">
        <v>0</v>
      </c>
      <c r="AI43" s="12">
        <v>0</v>
      </c>
      <c r="AJ43" s="12">
        <v>0</v>
      </c>
      <c r="AK43" s="12">
        <v>0</v>
      </c>
      <c r="AL43" s="12">
        <v>775.9</v>
      </c>
      <c r="AM43" s="60">
        <v>2187.8</v>
      </c>
    </row>
    <row r="44" spans="1:39" s="2" customFormat="1" ht="15.75">
      <c r="A44" s="62"/>
      <c r="B44" s="59"/>
      <c r="C44" s="6" t="s">
        <v>60</v>
      </c>
      <c r="D44" s="6">
        <v>11.9</v>
      </c>
      <c r="E44" s="6">
        <v>196</v>
      </c>
      <c r="F44" s="6">
        <v>244.1</v>
      </c>
      <c r="G44" s="6">
        <v>413.3</v>
      </c>
      <c r="H44" s="6">
        <v>20.8</v>
      </c>
      <c r="I44" s="6">
        <v>32.3</v>
      </c>
      <c r="J44" s="6">
        <v>72</v>
      </c>
      <c r="K44" s="6">
        <v>23.5</v>
      </c>
      <c r="L44" s="6">
        <v>83.7</v>
      </c>
      <c r="M44" s="6">
        <v>1291.8</v>
      </c>
      <c r="N44" s="6">
        <v>2009.2</v>
      </c>
      <c r="O44" s="6">
        <v>1808</v>
      </c>
      <c r="P44" s="6">
        <v>471.5</v>
      </c>
      <c r="Q44" s="6">
        <v>85.6</v>
      </c>
      <c r="R44" s="6">
        <v>4464</v>
      </c>
      <c r="S44" s="6">
        <v>27.2</v>
      </c>
      <c r="T44" s="6">
        <v>17.1</v>
      </c>
      <c r="U44" s="6">
        <v>0</v>
      </c>
      <c r="V44" s="6">
        <v>0</v>
      </c>
      <c r="W44" s="6">
        <v>6.2</v>
      </c>
      <c r="X44" s="6">
        <v>58.2</v>
      </c>
      <c r="Y44" s="6">
        <v>4.3</v>
      </c>
      <c r="Z44" s="6">
        <v>51.7</v>
      </c>
      <c r="AA44" s="6">
        <v>3.4</v>
      </c>
      <c r="AB44" s="6">
        <v>11395.8</v>
      </c>
      <c r="AC44" s="6">
        <v>1176.5</v>
      </c>
      <c r="AD44" s="6">
        <v>0</v>
      </c>
      <c r="AE44" s="6">
        <v>6841.3</v>
      </c>
      <c r="AF44" s="6">
        <v>940.3</v>
      </c>
      <c r="AG44" s="6">
        <v>7781.6</v>
      </c>
      <c r="AH44" s="6">
        <v>21269.1</v>
      </c>
      <c r="AI44" s="6">
        <v>17683.6</v>
      </c>
      <c r="AJ44" s="6">
        <v>2267.4</v>
      </c>
      <c r="AK44" s="6">
        <v>1318.1</v>
      </c>
      <c r="AL44" s="6">
        <v>30227.2</v>
      </c>
      <c r="AM44" s="61">
        <v>41623</v>
      </c>
    </row>
    <row r="45" spans="1:39" ht="12.75">
      <c r="A45" s="58" t="s">
        <v>10</v>
      </c>
      <c r="B45" s="59" t="s">
        <v>66</v>
      </c>
      <c r="C45" s="12" t="s">
        <v>57</v>
      </c>
      <c r="D45" s="12">
        <v>3038.7</v>
      </c>
      <c r="E45" s="12">
        <v>66.3</v>
      </c>
      <c r="F45" s="12">
        <v>100.7</v>
      </c>
      <c r="G45" s="12">
        <v>76.3</v>
      </c>
      <c r="H45" s="12">
        <v>37.1</v>
      </c>
      <c r="I45" s="12">
        <v>30.3</v>
      </c>
      <c r="J45" s="12">
        <v>70.6</v>
      </c>
      <c r="K45" s="12">
        <v>263.1</v>
      </c>
      <c r="L45" s="12">
        <v>602</v>
      </c>
      <c r="M45" s="12">
        <v>67.9</v>
      </c>
      <c r="N45" s="12">
        <v>4977.3</v>
      </c>
      <c r="O45" s="12">
        <v>3252</v>
      </c>
      <c r="P45" s="12">
        <v>108.9</v>
      </c>
      <c r="Q45" s="12">
        <v>36.7</v>
      </c>
      <c r="R45" s="12">
        <v>987.2</v>
      </c>
      <c r="S45" s="12">
        <v>337.3</v>
      </c>
      <c r="T45" s="12">
        <v>19.7</v>
      </c>
      <c r="U45" s="12">
        <v>2.1</v>
      </c>
      <c r="V45" s="12">
        <v>0</v>
      </c>
      <c r="W45" s="12">
        <v>775.8</v>
      </c>
      <c r="X45" s="12">
        <v>0</v>
      </c>
      <c r="Y45" s="12">
        <v>0.8</v>
      </c>
      <c r="Z45" s="12">
        <v>18.6</v>
      </c>
      <c r="AA45" s="12">
        <v>155.7</v>
      </c>
      <c r="AB45" s="12">
        <v>15025.1</v>
      </c>
      <c r="AC45" s="12">
        <v>963.9</v>
      </c>
      <c r="AD45" s="12">
        <v>0</v>
      </c>
      <c r="AE45" s="12">
        <v>836.7</v>
      </c>
      <c r="AF45" s="12">
        <v>1537.4</v>
      </c>
      <c r="AG45" s="12">
        <v>2374.1</v>
      </c>
      <c r="AH45" s="12">
        <v>79317.5</v>
      </c>
      <c r="AI45" s="12">
        <v>37441.4</v>
      </c>
      <c r="AJ45" s="12">
        <v>34535.8</v>
      </c>
      <c r="AK45" s="12">
        <v>7340.3</v>
      </c>
      <c r="AL45" s="12">
        <v>82655.5</v>
      </c>
      <c r="AM45" s="60">
        <v>97680.6</v>
      </c>
    </row>
    <row r="46" spans="1:39" ht="12.75">
      <c r="A46" s="62"/>
      <c r="B46" s="59"/>
      <c r="C46" s="12" t="s">
        <v>58</v>
      </c>
      <c r="D46" s="12">
        <v>0</v>
      </c>
      <c r="E46" s="12">
        <v>608.5</v>
      </c>
      <c r="F46" s="12">
        <v>139.6</v>
      </c>
      <c r="G46" s="12">
        <v>122.8</v>
      </c>
      <c r="H46" s="12">
        <v>97.3</v>
      </c>
      <c r="I46" s="12">
        <v>453.6</v>
      </c>
      <c r="J46" s="12">
        <v>338.4</v>
      </c>
      <c r="K46" s="12">
        <v>1142</v>
      </c>
      <c r="L46" s="12">
        <v>1990.8</v>
      </c>
      <c r="M46" s="12">
        <v>336.8</v>
      </c>
      <c r="N46" s="12">
        <v>13391</v>
      </c>
      <c r="O46" s="12">
        <v>1180.7</v>
      </c>
      <c r="P46" s="12">
        <v>110.5</v>
      </c>
      <c r="Q46" s="12">
        <v>253.1</v>
      </c>
      <c r="R46" s="12">
        <v>9636.3</v>
      </c>
      <c r="S46" s="12">
        <v>939.3</v>
      </c>
      <c r="T46" s="12">
        <v>255.9</v>
      </c>
      <c r="U46" s="12">
        <v>230.1</v>
      </c>
      <c r="V46" s="12">
        <v>0</v>
      </c>
      <c r="W46" s="12">
        <v>44.8</v>
      </c>
      <c r="X46" s="12">
        <v>16.1</v>
      </c>
      <c r="Y46" s="12">
        <v>29.9</v>
      </c>
      <c r="Z46" s="12">
        <v>512.1</v>
      </c>
      <c r="AA46" s="12">
        <v>255.8</v>
      </c>
      <c r="AB46" s="12">
        <v>32085.4</v>
      </c>
      <c r="AC46" s="12">
        <v>3845.9</v>
      </c>
      <c r="AD46" s="12">
        <v>0</v>
      </c>
      <c r="AE46" s="12">
        <v>21438</v>
      </c>
      <c r="AF46" s="12">
        <v>0</v>
      </c>
      <c r="AG46" s="12">
        <v>21438</v>
      </c>
      <c r="AH46" s="12">
        <v>0</v>
      </c>
      <c r="AI46" s="12">
        <v>0</v>
      </c>
      <c r="AJ46" s="12">
        <v>0</v>
      </c>
      <c r="AK46" s="12">
        <v>0</v>
      </c>
      <c r="AL46" s="12">
        <v>25283.9</v>
      </c>
      <c r="AM46" s="60">
        <v>57369.3</v>
      </c>
    </row>
    <row r="47" spans="1:39" ht="12.75">
      <c r="A47" s="62"/>
      <c r="B47" s="59"/>
      <c r="C47" s="12" t="s">
        <v>59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257.5</v>
      </c>
      <c r="J47" s="12">
        <v>327.7</v>
      </c>
      <c r="K47" s="12">
        <v>287.2</v>
      </c>
      <c r="L47" s="12">
        <v>661.2</v>
      </c>
      <c r="M47" s="12">
        <v>172.6</v>
      </c>
      <c r="N47" s="12">
        <v>7765.5</v>
      </c>
      <c r="O47" s="12">
        <v>3535</v>
      </c>
      <c r="P47" s="12">
        <v>71.9</v>
      </c>
      <c r="Q47" s="12">
        <v>28.3</v>
      </c>
      <c r="R47" s="12">
        <v>92.4</v>
      </c>
      <c r="S47" s="12">
        <v>287.9</v>
      </c>
      <c r="T47" s="12">
        <v>0</v>
      </c>
      <c r="U47" s="12">
        <v>0</v>
      </c>
      <c r="V47" s="12">
        <v>0</v>
      </c>
      <c r="W47" s="12">
        <v>52.4</v>
      </c>
      <c r="X47" s="12">
        <v>0</v>
      </c>
      <c r="Y47" s="12">
        <v>0</v>
      </c>
      <c r="Z47" s="12">
        <v>7.4</v>
      </c>
      <c r="AA47" s="12">
        <v>198.9</v>
      </c>
      <c r="AB47" s="12">
        <v>13745.9</v>
      </c>
      <c r="AC47" s="12">
        <v>1163.2</v>
      </c>
      <c r="AD47" s="12">
        <v>0</v>
      </c>
      <c r="AE47" s="12">
        <v>14478.7</v>
      </c>
      <c r="AF47" s="12">
        <v>0</v>
      </c>
      <c r="AG47" s="12">
        <v>14478.7</v>
      </c>
      <c r="AH47" s="12">
        <v>0</v>
      </c>
      <c r="AI47" s="12">
        <v>0</v>
      </c>
      <c r="AJ47" s="12">
        <v>0</v>
      </c>
      <c r="AK47" s="12">
        <v>0</v>
      </c>
      <c r="AL47" s="12">
        <v>15641.9</v>
      </c>
      <c r="AM47" s="60">
        <v>29387.8</v>
      </c>
    </row>
    <row r="48" spans="1:39" s="2" customFormat="1" ht="15.75">
      <c r="A48" s="62"/>
      <c r="B48" s="59"/>
      <c r="C48" s="6" t="s">
        <v>60</v>
      </c>
      <c r="D48" s="6">
        <v>3038.7</v>
      </c>
      <c r="E48" s="6">
        <v>674.8</v>
      </c>
      <c r="F48" s="6">
        <v>240.3</v>
      </c>
      <c r="G48" s="6">
        <v>199.1</v>
      </c>
      <c r="H48" s="6">
        <v>134.4</v>
      </c>
      <c r="I48" s="6">
        <v>741.4</v>
      </c>
      <c r="J48" s="6">
        <v>736.7</v>
      </c>
      <c r="K48" s="6">
        <v>1692.3</v>
      </c>
      <c r="L48" s="6">
        <v>3254</v>
      </c>
      <c r="M48" s="6">
        <v>577.3</v>
      </c>
      <c r="N48" s="6">
        <v>26133.8</v>
      </c>
      <c r="O48" s="6">
        <v>7967.7</v>
      </c>
      <c r="P48" s="6">
        <v>291.3</v>
      </c>
      <c r="Q48" s="6">
        <v>318.1</v>
      </c>
      <c r="R48" s="6">
        <v>10715.9</v>
      </c>
      <c r="S48" s="6">
        <v>1564.5</v>
      </c>
      <c r="T48" s="6">
        <v>275.6</v>
      </c>
      <c r="U48" s="6">
        <v>232.2</v>
      </c>
      <c r="V48" s="6">
        <v>0</v>
      </c>
      <c r="W48" s="6">
        <v>873</v>
      </c>
      <c r="X48" s="6">
        <v>16.1</v>
      </c>
      <c r="Y48" s="6">
        <v>30.7</v>
      </c>
      <c r="Z48" s="6">
        <v>538.1</v>
      </c>
      <c r="AA48" s="6">
        <v>610.4</v>
      </c>
      <c r="AB48" s="6">
        <v>60856.4</v>
      </c>
      <c r="AC48" s="6">
        <v>5973</v>
      </c>
      <c r="AD48" s="6">
        <v>0</v>
      </c>
      <c r="AE48" s="6">
        <v>36753.4</v>
      </c>
      <c r="AF48" s="6">
        <v>1537.4</v>
      </c>
      <c r="AG48" s="6">
        <v>38290.8</v>
      </c>
      <c r="AH48" s="6">
        <v>79317.5</v>
      </c>
      <c r="AI48" s="6">
        <v>37441.4</v>
      </c>
      <c r="AJ48" s="6">
        <v>34535.8</v>
      </c>
      <c r="AK48" s="6">
        <v>7340.3</v>
      </c>
      <c r="AL48" s="6">
        <v>123581.3</v>
      </c>
      <c r="AM48" s="61">
        <v>184437.7</v>
      </c>
    </row>
    <row r="49" spans="1:39" ht="12.75">
      <c r="A49" s="58" t="s">
        <v>11</v>
      </c>
      <c r="B49" s="59" t="s">
        <v>35</v>
      </c>
      <c r="C49" s="12" t="s">
        <v>57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22306</v>
      </c>
      <c r="P49" s="12">
        <v>0</v>
      </c>
      <c r="Q49" s="12">
        <v>0</v>
      </c>
      <c r="R49" s="12">
        <v>0</v>
      </c>
      <c r="S49" s="12">
        <v>65.3</v>
      </c>
      <c r="T49" s="12">
        <v>1.4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22372.7</v>
      </c>
      <c r="AC49" s="12">
        <v>211.2</v>
      </c>
      <c r="AD49" s="12">
        <v>0</v>
      </c>
      <c r="AE49" s="12">
        <v>77.6</v>
      </c>
      <c r="AF49" s="12">
        <v>938</v>
      </c>
      <c r="AG49" s="12">
        <v>1015.6</v>
      </c>
      <c r="AH49" s="12">
        <v>101319.3</v>
      </c>
      <c r="AI49" s="12">
        <v>9904.2</v>
      </c>
      <c r="AJ49" s="12">
        <v>81378.5</v>
      </c>
      <c r="AK49" s="12">
        <v>10036.6</v>
      </c>
      <c r="AL49" s="12">
        <v>102546.1</v>
      </c>
      <c r="AM49" s="60">
        <v>124918.8</v>
      </c>
    </row>
    <row r="50" spans="1:39" ht="12.75">
      <c r="A50" s="62"/>
      <c r="B50" s="59"/>
      <c r="C50" s="12" t="s">
        <v>58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25447.5</v>
      </c>
      <c r="P50" s="12">
        <v>0</v>
      </c>
      <c r="Q50" s="12">
        <v>0</v>
      </c>
      <c r="R50" s="12">
        <v>0</v>
      </c>
      <c r="S50" s="12">
        <v>851.7</v>
      </c>
      <c r="T50" s="12">
        <v>396.3</v>
      </c>
      <c r="U50" s="12">
        <v>0</v>
      </c>
      <c r="V50" s="12">
        <v>0</v>
      </c>
      <c r="W50" s="12">
        <v>20</v>
      </c>
      <c r="X50" s="12">
        <v>20.5</v>
      </c>
      <c r="Y50" s="12">
        <v>1.3</v>
      </c>
      <c r="Z50" s="12">
        <v>0</v>
      </c>
      <c r="AA50" s="12">
        <v>4.4</v>
      </c>
      <c r="AB50" s="12">
        <v>26741.7</v>
      </c>
      <c r="AC50" s="12">
        <v>13532.5</v>
      </c>
      <c r="AD50" s="12">
        <v>0</v>
      </c>
      <c r="AE50" s="12">
        <v>4847.5</v>
      </c>
      <c r="AF50" s="12">
        <v>0</v>
      </c>
      <c r="AG50" s="12">
        <v>4847.5</v>
      </c>
      <c r="AH50" s="12">
        <v>0</v>
      </c>
      <c r="AI50" s="12">
        <v>0</v>
      </c>
      <c r="AJ50" s="12">
        <v>0</v>
      </c>
      <c r="AK50" s="12">
        <v>0</v>
      </c>
      <c r="AL50" s="12">
        <v>18380</v>
      </c>
      <c r="AM50" s="60">
        <v>45121.7</v>
      </c>
    </row>
    <row r="51" spans="1:39" ht="12.75">
      <c r="A51" s="62"/>
      <c r="B51" s="59"/>
      <c r="C51" s="12" t="s">
        <v>59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15281.4</v>
      </c>
      <c r="P51" s="12">
        <v>0</v>
      </c>
      <c r="Q51" s="12">
        <v>0</v>
      </c>
      <c r="R51" s="12">
        <v>0</v>
      </c>
      <c r="S51" s="12">
        <v>94.2</v>
      </c>
      <c r="T51" s="12">
        <v>39.3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15414.9</v>
      </c>
      <c r="AC51" s="12">
        <v>1760.3</v>
      </c>
      <c r="AD51" s="12">
        <v>0</v>
      </c>
      <c r="AE51" s="12">
        <v>2863.9</v>
      </c>
      <c r="AF51" s="12">
        <v>0</v>
      </c>
      <c r="AG51" s="12">
        <v>2863.9</v>
      </c>
      <c r="AH51" s="12">
        <v>0</v>
      </c>
      <c r="AI51" s="12">
        <v>0</v>
      </c>
      <c r="AJ51" s="12">
        <v>0</v>
      </c>
      <c r="AK51" s="12">
        <v>0</v>
      </c>
      <c r="AL51" s="12">
        <v>4624.2</v>
      </c>
      <c r="AM51" s="60">
        <v>20039.1</v>
      </c>
    </row>
    <row r="52" spans="1:39" s="2" customFormat="1" ht="15.75">
      <c r="A52" s="62"/>
      <c r="B52" s="59"/>
      <c r="C52" s="6" t="s">
        <v>60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63034.9</v>
      </c>
      <c r="P52" s="6">
        <v>0</v>
      </c>
      <c r="Q52" s="6">
        <v>0</v>
      </c>
      <c r="R52" s="6">
        <v>0</v>
      </c>
      <c r="S52" s="6">
        <v>1011.2</v>
      </c>
      <c r="T52" s="6">
        <v>437</v>
      </c>
      <c r="U52" s="6">
        <v>0</v>
      </c>
      <c r="V52" s="6">
        <v>0</v>
      </c>
      <c r="W52" s="6">
        <v>20</v>
      </c>
      <c r="X52" s="6">
        <v>20.5</v>
      </c>
      <c r="Y52" s="6">
        <v>1.3</v>
      </c>
      <c r="Z52" s="6">
        <v>0</v>
      </c>
      <c r="AA52" s="6">
        <v>4.4</v>
      </c>
      <c r="AB52" s="6">
        <v>64529.3</v>
      </c>
      <c r="AC52" s="6">
        <v>15504</v>
      </c>
      <c r="AD52" s="6">
        <v>0</v>
      </c>
      <c r="AE52" s="6">
        <v>7789</v>
      </c>
      <c r="AF52" s="6">
        <v>938</v>
      </c>
      <c r="AG52" s="6">
        <v>8727</v>
      </c>
      <c r="AH52" s="6">
        <v>101319.3</v>
      </c>
      <c r="AI52" s="6">
        <v>9904.2</v>
      </c>
      <c r="AJ52" s="6">
        <v>81378.5</v>
      </c>
      <c r="AK52" s="6">
        <v>10036.6</v>
      </c>
      <c r="AL52" s="6">
        <v>125550.3</v>
      </c>
      <c r="AM52" s="61">
        <v>190079.6</v>
      </c>
    </row>
    <row r="53" spans="1:39" ht="12.75">
      <c r="A53" s="58" t="s">
        <v>12</v>
      </c>
      <c r="B53" s="59" t="s">
        <v>67</v>
      </c>
      <c r="C53" s="12" t="s">
        <v>57</v>
      </c>
      <c r="D53" s="12">
        <v>10.3</v>
      </c>
      <c r="E53" s="12">
        <v>130</v>
      </c>
      <c r="F53" s="12">
        <v>10.8</v>
      </c>
      <c r="G53" s="12">
        <v>61</v>
      </c>
      <c r="H53" s="12">
        <v>1.6</v>
      </c>
      <c r="I53" s="12">
        <v>123.9</v>
      </c>
      <c r="J53" s="12">
        <v>0</v>
      </c>
      <c r="K53" s="12">
        <v>21.9</v>
      </c>
      <c r="L53" s="12">
        <v>227.2</v>
      </c>
      <c r="M53" s="12">
        <v>0</v>
      </c>
      <c r="N53" s="12">
        <v>246.9</v>
      </c>
      <c r="O53" s="12">
        <v>2579.7</v>
      </c>
      <c r="P53" s="12">
        <v>1674.5</v>
      </c>
      <c r="Q53" s="12">
        <v>1.3</v>
      </c>
      <c r="R53" s="12">
        <v>886.5</v>
      </c>
      <c r="S53" s="12">
        <v>33.4</v>
      </c>
      <c r="T53" s="12">
        <v>23.8</v>
      </c>
      <c r="U53" s="12">
        <v>9.4</v>
      </c>
      <c r="V53" s="12">
        <v>0</v>
      </c>
      <c r="W53" s="12">
        <v>18.5</v>
      </c>
      <c r="X53" s="12">
        <v>21.3</v>
      </c>
      <c r="Y53" s="12">
        <v>0.9</v>
      </c>
      <c r="Z53" s="12">
        <v>31.6</v>
      </c>
      <c r="AA53" s="12">
        <v>68.5</v>
      </c>
      <c r="AB53" s="12">
        <v>6183</v>
      </c>
      <c r="AC53" s="12">
        <v>2561.1</v>
      </c>
      <c r="AD53" s="12">
        <v>0</v>
      </c>
      <c r="AE53" s="12">
        <v>1824.8</v>
      </c>
      <c r="AF53" s="12">
        <v>390.2</v>
      </c>
      <c r="AG53" s="12">
        <v>2215</v>
      </c>
      <c r="AH53" s="12">
        <v>20384.9</v>
      </c>
      <c r="AI53" s="12">
        <v>14984.2</v>
      </c>
      <c r="AJ53" s="12">
        <v>4331.1</v>
      </c>
      <c r="AK53" s="12">
        <v>1069.6</v>
      </c>
      <c r="AL53" s="12">
        <v>25161</v>
      </c>
      <c r="AM53" s="60">
        <v>31344</v>
      </c>
    </row>
    <row r="54" spans="1:39" ht="12.75">
      <c r="A54" s="62"/>
      <c r="B54" s="59"/>
      <c r="C54" s="12" t="s">
        <v>58</v>
      </c>
      <c r="D54" s="12">
        <v>0</v>
      </c>
      <c r="E54" s="12">
        <v>60.6</v>
      </c>
      <c r="F54" s="12">
        <v>3</v>
      </c>
      <c r="G54" s="12">
        <v>31.9</v>
      </c>
      <c r="H54" s="12">
        <v>18.7</v>
      </c>
      <c r="I54" s="12">
        <v>46.7</v>
      </c>
      <c r="J54" s="12">
        <v>0</v>
      </c>
      <c r="K54" s="12">
        <v>0</v>
      </c>
      <c r="L54" s="12">
        <v>1267.5</v>
      </c>
      <c r="M54" s="12">
        <v>40.8</v>
      </c>
      <c r="N54" s="12">
        <v>11.4</v>
      </c>
      <c r="O54" s="12">
        <v>0</v>
      </c>
      <c r="P54" s="12">
        <v>5460</v>
      </c>
      <c r="Q54" s="12">
        <v>4</v>
      </c>
      <c r="R54" s="12">
        <v>404.5</v>
      </c>
      <c r="S54" s="12">
        <v>31.4</v>
      </c>
      <c r="T54" s="12">
        <v>1.5</v>
      </c>
      <c r="U54" s="12">
        <v>18.7</v>
      </c>
      <c r="V54" s="12">
        <v>0</v>
      </c>
      <c r="W54" s="12">
        <v>14.6</v>
      </c>
      <c r="X54" s="12">
        <v>70.9</v>
      </c>
      <c r="Y54" s="12">
        <v>0.6</v>
      </c>
      <c r="Z54" s="12">
        <v>58.1</v>
      </c>
      <c r="AA54" s="12">
        <v>10.7</v>
      </c>
      <c r="AB54" s="12">
        <v>7555.6</v>
      </c>
      <c r="AC54" s="12">
        <v>5312.9</v>
      </c>
      <c r="AD54" s="12">
        <v>0</v>
      </c>
      <c r="AE54" s="12">
        <v>1412.6</v>
      </c>
      <c r="AF54" s="12">
        <v>0</v>
      </c>
      <c r="AG54" s="12">
        <v>1412.6</v>
      </c>
      <c r="AH54" s="12">
        <v>0</v>
      </c>
      <c r="AI54" s="12">
        <v>0</v>
      </c>
      <c r="AJ54" s="12">
        <v>0</v>
      </c>
      <c r="AK54" s="12">
        <v>0</v>
      </c>
      <c r="AL54" s="12">
        <v>6725.5</v>
      </c>
      <c r="AM54" s="60">
        <v>14281.1</v>
      </c>
    </row>
    <row r="55" spans="1:39" ht="12.75">
      <c r="A55" s="62"/>
      <c r="B55" s="59"/>
      <c r="C55" s="12" t="s">
        <v>59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210.8</v>
      </c>
      <c r="M55" s="12">
        <v>0</v>
      </c>
      <c r="N55" s="12">
        <v>0</v>
      </c>
      <c r="O55" s="12">
        <v>0</v>
      </c>
      <c r="P55" s="12">
        <v>746.2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957</v>
      </c>
      <c r="AC55" s="12">
        <v>777.3</v>
      </c>
      <c r="AD55" s="12">
        <v>0</v>
      </c>
      <c r="AE55" s="12">
        <v>265.7</v>
      </c>
      <c r="AF55" s="12">
        <v>0</v>
      </c>
      <c r="AG55" s="12">
        <v>265.7</v>
      </c>
      <c r="AH55" s="12">
        <v>0</v>
      </c>
      <c r="AI55" s="12">
        <v>0</v>
      </c>
      <c r="AJ55" s="12">
        <v>0</v>
      </c>
      <c r="AK55" s="12">
        <v>0</v>
      </c>
      <c r="AL55" s="12">
        <v>1043</v>
      </c>
      <c r="AM55" s="60">
        <v>2000</v>
      </c>
    </row>
    <row r="56" spans="1:39" s="2" customFormat="1" ht="15.75">
      <c r="A56" s="62"/>
      <c r="B56" s="59"/>
      <c r="C56" s="6" t="s">
        <v>60</v>
      </c>
      <c r="D56" s="6">
        <v>10.3</v>
      </c>
      <c r="E56" s="6">
        <v>190.6</v>
      </c>
      <c r="F56" s="6">
        <v>13.8</v>
      </c>
      <c r="G56" s="6">
        <v>92.9</v>
      </c>
      <c r="H56" s="6">
        <v>20.3</v>
      </c>
      <c r="I56" s="6">
        <v>170.6</v>
      </c>
      <c r="J56" s="6">
        <v>0</v>
      </c>
      <c r="K56" s="6">
        <v>21.9</v>
      </c>
      <c r="L56" s="6">
        <v>1705.5</v>
      </c>
      <c r="M56" s="6">
        <v>40.8</v>
      </c>
      <c r="N56" s="6">
        <v>258.3</v>
      </c>
      <c r="O56" s="6">
        <v>2579.7</v>
      </c>
      <c r="P56" s="6">
        <v>7880.7</v>
      </c>
      <c r="Q56" s="6">
        <v>5.3</v>
      </c>
      <c r="R56" s="6">
        <v>1291</v>
      </c>
      <c r="S56" s="6">
        <v>64.8</v>
      </c>
      <c r="T56" s="6">
        <v>25.3</v>
      </c>
      <c r="U56" s="6">
        <v>28.1</v>
      </c>
      <c r="V56" s="6">
        <v>0</v>
      </c>
      <c r="W56" s="6">
        <v>33.1</v>
      </c>
      <c r="X56" s="6">
        <v>92.2</v>
      </c>
      <c r="Y56" s="6">
        <v>1.5</v>
      </c>
      <c r="Z56" s="6">
        <v>89.7</v>
      </c>
      <c r="AA56" s="6">
        <v>79.2</v>
      </c>
      <c r="AB56" s="6">
        <v>14695.6</v>
      </c>
      <c r="AC56" s="6">
        <v>8651.3</v>
      </c>
      <c r="AD56" s="6">
        <v>0</v>
      </c>
      <c r="AE56" s="6">
        <v>3503.1</v>
      </c>
      <c r="AF56" s="6">
        <v>390.2</v>
      </c>
      <c r="AG56" s="6">
        <v>3893.3</v>
      </c>
      <c r="AH56" s="6">
        <v>20384.9</v>
      </c>
      <c r="AI56" s="6">
        <v>14984.2</v>
      </c>
      <c r="AJ56" s="6">
        <v>4331.1</v>
      </c>
      <c r="AK56" s="6">
        <v>1069.6</v>
      </c>
      <c r="AL56" s="6">
        <v>32929.5</v>
      </c>
      <c r="AM56" s="61">
        <v>47625.1</v>
      </c>
    </row>
    <row r="57" spans="1:39" ht="12.75">
      <c r="A57" s="58" t="s">
        <v>13</v>
      </c>
      <c r="B57" s="59" t="s">
        <v>37</v>
      </c>
      <c r="C57" s="12" t="s">
        <v>57</v>
      </c>
      <c r="D57" s="12">
        <v>806</v>
      </c>
      <c r="E57" s="12">
        <v>540.6</v>
      </c>
      <c r="F57" s="12">
        <v>145.8</v>
      </c>
      <c r="G57" s="12">
        <v>119.3</v>
      </c>
      <c r="H57" s="12">
        <v>165.8</v>
      </c>
      <c r="I57" s="12">
        <v>598.7</v>
      </c>
      <c r="J57" s="12">
        <v>480.2</v>
      </c>
      <c r="K57" s="12">
        <v>723.5</v>
      </c>
      <c r="L57" s="12">
        <v>1124</v>
      </c>
      <c r="M57" s="12">
        <v>227.6</v>
      </c>
      <c r="N57" s="12">
        <v>427.2</v>
      </c>
      <c r="O57" s="12">
        <v>413.3</v>
      </c>
      <c r="P57" s="12">
        <v>227.7</v>
      </c>
      <c r="Q57" s="12">
        <v>41.6</v>
      </c>
      <c r="R57" s="12">
        <v>280.6</v>
      </c>
      <c r="S57" s="12">
        <v>1242.1</v>
      </c>
      <c r="T57" s="12">
        <v>387.3</v>
      </c>
      <c r="U57" s="12">
        <v>143.4</v>
      </c>
      <c r="V57" s="12">
        <v>0</v>
      </c>
      <c r="W57" s="12">
        <v>177.2</v>
      </c>
      <c r="X57" s="12">
        <v>862.6</v>
      </c>
      <c r="Y57" s="12">
        <v>191.2</v>
      </c>
      <c r="Z57" s="12">
        <v>154.1</v>
      </c>
      <c r="AA57" s="12">
        <v>452.3</v>
      </c>
      <c r="AB57" s="12">
        <v>9932.1</v>
      </c>
      <c r="AC57" s="12">
        <v>7999.6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7999.6</v>
      </c>
      <c r="AM57" s="60">
        <v>17931.7</v>
      </c>
    </row>
    <row r="58" spans="1:39" ht="12.75">
      <c r="A58" s="62"/>
      <c r="B58" s="59"/>
      <c r="C58" s="12" t="s">
        <v>58</v>
      </c>
      <c r="D58" s="12">
        <v>1382.1</v>
      </c>
      <c r="E58" s="12">
        <v>623.7</v>
      </c>
      <c r="F58" s="12">
        <v>146.6</v>
      </c>
      <c r="G58" s="12">
        <v>67.67</v>
      </c>
      <c r="H58" s="12">
        <v>209.8</v>
      </c>
      <c r="I58" s="12">
        <v>542.5</v>
      </c>
      <c r="J58" s="12">
        <v>3198.7</v>
      </c>
      <c r="K58" s="12">
        <v>1427.6</v>
      </c>
      <c r="L58" s="12">
        <v>590.5</v>
      </c>
      <c r="M58" s="12">
        <v>189.5</v>
      </c>
      <c r="N58" s="12">
        <v>383.9</v>
      </c>
      <c r="O58" s="12">
        <v>290.3</v>
      </c>
      <c r="P58" s="12">
        <v>173.8</v>
      </c>
      <c r="Q58" s="12">
        <v>23</v>
      </c>
      <c r="R58" s="12">
        <v>703.8</v>
      </c>
      <c r="S58" s="12">
        <v>951.1</v>
      </c>
      <c r="T58" s="12">
        <v>4291.1</v>
      </c>
      <c r="U58" s="12">
        <v>101.9</v>
      </c>
      <c r="V58" s="12">
        <v>0</v>
      </c>
      <c r="W58" s="12">
        <v>2275.5</v>
      </c>
      <c r="X58" s="12">
        <v>391.4</v>
      </c>
      <c r="Y58" s="12">
        <v>253.2</v>
      </c>
      <c r="Z58" s="12">
        <v>333.3</v>
      </c>
      <c r="AA58" s="12">
        <v>346.1</v>
      </c>
      <c r="AB58" s="12">
        <v>18897.07</v>
      </c>
      <c r="AC58" s="12">
        <v>12801.5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12801.5</v>
      </c>
      <c r="AM58" s="60">
        <v>31698.57</v>
      </c>
    </row>
    <row r="59" spans="1:39" ht="12.75">
      <c r="A59" s="62"/>
      <c r="B59" s="59"/>
      <c r="C59" s="12" t="s">
        <v>59</v>
      </c>
      <c r="D59" s="12">
        <v>0.3</v>
      </c>
      <c r="E59" s="12">
        <v>119.1</v>
      </c>
      <c r="F59" s="12">
        <v>0</v>
      </c>
      <c r="G59" s="12">
        <v>38.5</v>
      </c>
      <c r="H59" s="12">
        <v>40.3</v>
      </c>
      <c r="I59" s="12">
        <v>296.1</v>
      </c>
      <c r="J59" s="12">
        <v>323.7</v>
      </c>
      <c r="K59" s="12">
        <v>1023.8</v>
      </c>
      <c r="L59" s="12">
        <v>426.6</v>
      </c>
      <c r="M59" s="12">
        <v>45.2</v>
      </c>
      <c r="N59" s="12">
        <v>37.7</v>
      </c>
      <c r="O59" s="12">
        <v>162.2</v>
      </c>
      <c r="P59" s="12">
        <v>13.3</v>
      </c>
      <c r="Q59" s="12">
        <v>0</v>
      </c>
      <c r="R59" s="12">
        <v>1.1</v>
      </c>
      <c r="S59" s="12">
        <v>17</v>
      </c>
      <c r="T59" s="12">
        <v>0</v>
      </c>
      <c r="U59" s="12">
        <v>0</v>
      </c>
      <c r="V59" s="12">
        <v>0</v>
      </c>
      <c r="W59" s="12">
        <v>4.4</v>
      </c>
      <c r="X59" s="12">
        <v>18.7</v>
      </c>
      <c r="Y59" s="12">
        <v>10.5</v>
      </c>
      <c r="Z59" s="12">
        <v>2.5</v>
      </c>
      <c r="AA59" s="12">
        <v>2.3</v>
      </c>
      <c r="AB59" s="12">
        <v>2583.3</v>
      </c>
      <c r="AC59" s="12">
        <v>317.4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317.4</v>
      </c>
      <c r="AM59" s="60">
        <v>2900.7</v>
      </c>
    </row>
    <row r="60" spans="1:39" s="2" customFormat="1" ht="15.75">
      <c r="A60" s="62"/>
      <c r="B60" s="59"/>
      <c r="C60" s="6" t="s">
        <v>60</v>
      </c>
      <c r="D60" s="6">
        <v>2188.4</v>
      </c>
      <c r="E60" s="6">
        <v>1283.4</v>
      </c>
      <c r="F60" s="6">
        <v>292.4</v>
      </c>
      <c r="G60" s="6">
        <v>225.47</v>
      </c>
      <c r="H60" s="6">
        <v>415.9</v>
      </c>
      <c r="I60" s="6">
        <v>1437.3</v>
      </c>
      <c r="J60" s="6">
        <v>4002.6</v>
      </c>
      <c r="K60" s="6">
        <v>3174.9</v>
      </c>
      <c r="L60" s="6">
        <v>2141.1</v>
      </c>
      <c r="M60" s="6">
        <v>462.3</v>
      </c>
      <c r="N60" s="6">
        <v>848.8</v>
      </c>
      <c r="O60" s="6">
        <v>865.8</v>
      </c>
      <c r="P60" s="6">
        <v>414.8</v>
      </c>
      <c r="Q60" s="6">
        <v>64.6</v>
      </c>
      <c r="R60" s="6">
        <v>985.5</v>
      </c>
      <c r="S60" s="6">
        <v>2210.2</v>
      </c>
      <c r="T60" s="6">
        <v>4678.4</v>
      </c>
      <c r="U60" s="6">
        <v>245.3</v>
      </c>
      <c r="V60" s="6">
        <v>0</v>
      </c>
      <c r="W60" s="6">
        <v>2457.1</v>
      </c>
      <c r="X60" s="6">
        <v>1272.7</v>
      </c>
      <c r="Y60" s="6">
        <v>454.9</v>
      </c>
      <c r="Z60" s="6">
        <v>489.9</v>
      </c>
      <c r="AA60" s="6">
        <v>800.7</v>
      </c>
      <c r="AB60" s="6">
        <v>31412.47</v>
      </c>
      <c r="AC60" s="6">
        <v>21118.5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21118.5</v>
      </c>
      <c r="AM60" s="61">
        <v>52530.97</v>
      </c>
    </row>
    <row r="61" spans="1:39" ht="12.75">
      <c r="A61" s="58" t="s">
        <v>14</v>
      </c>
      <c r="B61" s="59" t="s">
        <v>38</v>
      </c>
      <c r="C61" s="12" t="s">
        <v>57</v>
      </c>
      <c r="D61" s="12">
        <v>1364.2</v>
      </c>
      <c r="E61" s="12">
        <v>238</v>
      </c>
      <c r="F61" s="12">
        <v>59.6</v>
      </c>
      <c r="G61" s="12">
        <v>41.4</v>
      </c>
      <c r="H61" s="12">
        <v>15.4</v>
      </c>
      <c r="I61" s="12">
        <v>57.1</v>
      </c>
      <c r="J61" s="12">
        <v>140.6</v>
      </c>
      <c r="K61" s="12">
        <v>283.4</v>
      </c>
      <c r="L61" s="12">
        <v>256.9</v>
      </c>
      <c r="M61" s="12">
        <v>49.4</v>
      </c>
      <c r="N61" s="12">
        <v>75.9</v>
      </c>
      <c r="O61" s="12">
        <v>270.7</v>
      </c>
      <c r="P61" s="12">
        <v>198.1</v>
      </c>
      <c r="Q61" s="12">
        <v>715</v>
      </c>
      <c r="R61" s="12">
        <v>11.4</v>
      </c>
      <c r="S61" s="12">
        <v>2084.1</v>
      </c>
      <c r="T61" s="12">
        <v>840.4</v>
      </c>
      <c r="U61" s="12">
        <v>871.4</v>
      </c>
      <c r="V61" s="12">
        <v>0</v>
      </c>
      <c r="W61" s="12">
        <v>5552.6</v>
      </c>
      <c r="X61" s="12">
        <v>751.6</v>
      </c>
      <c r="Y61" s="12">
        <v>306.3</v>
      </c>
      <c r="Z61" s="12">
        <v>194.7</v>
      </c>
      <c r="AA61" s="12">
        <v>548.4</v>
      </c>
      <c r="AB61" s="12">
        <v>14926.6</v>
      </c>
      <c r="AC61" s="12">
        <v>1965.3</v>
      </c>
      <c r="AD61" s="12">
        <v>0</v>
      </c>
      <c r="AE61" s="12">
        <v>80266.8</v>
      </c>
      <c r="AF61" s="12">
        <v>0</v>
      </c>
      <c r="AG61" s="12">
        <v>80266.8</v>
      </c>
      <c r="AH61" s="12">
        <v>0</v>
      </c>
      <c r="AI61" s="12">
        <v>0</v>
      </c>
      <c r="AJ61" s="12">
        <v>0</v>
      </c>
      <c r="AK61" s="12">
        <v>0</v>
      </c>
      <c r="AL61" s="12">
        <v>82232.1</v>
      </c>
      <c r="AM61" s="60">
        <v>97158.7</v>
      </c>
    </row>
    <row r="62" spans="1:39" ht="12.75">
      <c r="A62" s="62"/>
      <c r="B62" s="59"/>
      <c r="C62" s="12" t="s">
        <v>58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60">
        <v>0</v>
      </c>
    </row>
    <row r="63" spans="1:39" ht="12.75">
      <c r="A63" s="62"/>
      <c r="B63" s="59"/>
      <c r="C63" s="12" t="s">
        <v>59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60">
        <v>0</v>
      </c>
    </row>
    <row r="64" spans="1:39" s="2" customFormat="1" ht="15.75">
      <c r="A64" s="62"/>
      <c r="B64" s="59"/>
      <c r="C64" s="6" t="s">
        <v>60</v>
      </c>
      <c r="D64" s="6">
        <v>1364.2</v>
      </c>
      <c r="E64" s="6">
        <v>238</v>
      </c>
      <c r="F64" s="6">
        <v>59.6</v>
      </c>
      <c r="G64" s="6">
        <v>41.4</v>
      </c>
      <c r="H64" s="6">
        <v>15.4</v>
      </c>
      <c r="I64" s="6">
        <v>57.1</v>
      </c>
      <c r="J64" s="6">
        <v>140.6</v>
      </c>
      <c r="K64" s="6">
        <v>283.4</v>
      </c>
      <c r="L64" s="6">
        <v>256.9</v>
      </c>
      <c r="M64" s="6">
        <v>49.4</v>
      </c>
      <c r="N64" s="6">
        <v>75.9</v>
      </c>
      <c r="O64" s="6">
        <v>270.7</v>
      </c>
      <c r="P64" s="6">
        <v>198.1</v>
      </c>
      <c r="Q64" s="6">
        <v>715</v>
      </c>
      <c r="R64" s="6">
        <v>11.4</v>
      </c>
      <c r="S64" s="6">
        <v>2084.1</v>
      </c>
      <c r="T64" s="6">
        <v>840.4</v>
      </c>
      <c r="U64" s="6">
        <v>871.4</v>
      </c>
      <c r="V64" s="6">
        <v>0</v>
      </c>
      <c r="W64" s="6">
        <v>5552.6</v>
      </c>
      <c r="X64" s="6">
        <v>751.6</v>
      </c>
      <c r="Y64" s="6">
        <v>306.3</v>
      </c>
      <c r="Z64" s="6">
        <v>194.7</v>
      </c>
      <c r="AA64" s="6">
        <v>548.4</v>
      </c>
      <c r="AB64" s="6">
        <v>14926.6</v>
      </c>
      <c r="AC64" s="6">
        <v>1965.3</v>
      </c>
      <c r="AD64" s="6">
        <v>0</v>
      </c>
      <c r="AE64" s="6">
        <v>80266.8</v>
      </c>
      <c r="AF64" s="6">
        <v>0</v>
      </c>
      <c r="AG64" s="6">
        <v>80266.8</v>
      </c>
      <c r="AH64" s="6">
        <v>0</v>
      </c>
      <c r="AI64" s="6">
        <v>0</v>
      </c>
      <c r="AJ64" s="6">
        <v>0</v>
      </c>
      <c r="AK64" s="6">
        <v>0</v>
      </c>
      <c r="AL64" s="6">
        <v>82232.1</v>
      </c>
      <c r="AM64" s="61">
        <v>97158.7</v>
      </c>
    </row>
    <row r="65" spans="1:39" ht="12.75">
      <c r="A65" s="58" t="s">
        <v>15</v>
      </c>
      <c r="B65" s="59" t="s">
        <v>68</v>
      </c>
      <c r="C65" s="12" t="s">
        <v>57</v>
      </c>
      <c r="D65" s="12">
        <v>2134.5</v>
      </c>
      <c r="E65" s="12">
        <v>2295.8</v>
      </c>
      <c r="F65" s="12">
        <v>531</v>
      </c>
      <c r="G65" s="12">
        <v>425.8</v>
      </c>
      <c r="H65" s="12">
        <v>573.4</v>
      </c>
      <c r="I65" s="12">
        <v>1746.7</v>
      </c>
      <c r="J65" s="12">
        <v>1550.4</v>
      </c>
      <c r="K65" s="12">
        <v>618</v>
      </c>
      <c r="L65" s="12">
        <v>2409.6</v>
      </c>
      <c r="M65" s="12">
        <v>826.6</v>
      </c>
      <c r="N65" s="12">
        <v>2809.3</v>
      </c>
      <c r="O65" s="12">
        <v>2269.9</v>
      </c>
      <c r="P65" s="12">
        <v>1130.4</v>
      </c>
      <c r="Q65" s="12">
        <v>90.8</v>
      </c>
      <c r="R65" s="12">
        <v>3451.4</v>
      </c>
      <c r="S65" s="12">
        <v>6265.7</v>
      </c>
      <c r="T65" s="12">
        <v>3324</v>
      </c>
      <c r="U65" s="12">
        <v>531.2</v>
      </c>
      <c r="V65" s="12">
        <v>0</v>
      </c>
      <c r="W65" s="12">
        <v>962.8</v>
      </c>
      <c r="X65" s="12">
        <v>767.7</v>
      </c>
      <c r="Y65" s="12">
        <v>250.2</v>
      </c>
      <c r="Z65" s="12">
        <v>847.3</v>
      </c>
      <c r="AA65" s="12">
        <v>457</v>
      </c>
      <c r="AB65" s="12">
        <v>36269.5</v>
      </c>
      <c r="AC65" s="12">
        <v>84641</v>
      </c>
      <c r="AD65" s="12">
        <v>0</v>
      </c>
      <c r="AE65" s="12">
        <v>1721.6</v>
      </c>
      <c r="AF65" s="12">
        <v>0</v>
      </c>
      <c r="AG65" s="12">
        <v>1721.6</v>
      </c>
      <c r="AH65" s="12">
        <v>0</v>
      </c>
      <c r="AI65" s="12">
        <v>0</v>
      </c>
      <c r="AJ65" s="12">
        <v>0</v>
      </c>
      <c r="AK65" s="12">
        <v>0</v>
      </c>
      <c r="AL65" s="12">
        <v>86362.6</v>
      </c>
      <c r="AM65" s="60">
        <v>122632.1</v>
      </c>
    </row>
    <row r="66" spans="1:39" ht="12.75">
      <c r="A66" s="62"/>
      <c r="B66" s="59" t="s">
        <v>69</v>
      </c>
      <c r="C66" s="12" t="s">
        <v>58</v>
      </c>
      <c r="D66" s="12">
        <v>815.4</v>
      </c>
      <c r="E66" s="12">
        <v>250.3</v>
      </c>
      <c r="F66" s="12">
        <v>148.1</v>
      </c>
      <c r="G66" s="12">
        <v>228.1</v>
      </c>
      <c r="H66" s="12">
        <v>267.2</v>
      </c>
      <c r="I66" s="12">
        <v>723.5</v>
      </c>
      <c r="J66" s="12">
        <v>531.7</v>
      </c>
      <c r="K66" s="12">
        <v>277.7</v>
      </c>
      <c r="L66" s="12">
        <v>1698.1</v>
      </c>
      <c r="M66" s="12">
        <v>301.1</v>
      </c>
      <c r="N66" s="12">
        <v>1461</v>
      </c>
      <c r="O66" s="12">
        <v>1383.8</v>
      </c>
      <c r="P66" s="12">
        <v>423.3</v>
      </c>
      <c r="Q66" s="12">
        <v>27.1</v>
      </c>
      <c r="R66" s="12">
        <v>1442.4</v>
      </c>
      <c r="S66" s="12">
        <v>2212.2</v>
      </c>
      <c r="T66" s="12">
        <v>1312.6</v>
      </c>
      <c r="U66" s="12">
        <v>265.1</v>
      </c>
      <c r="V66" s="12">
        <v>0</v>
      </c>
      <c r="W66" s="12">
        <v>404</v>
      </c>
      <c r="X66" s="12">
        <v>226.5</v>
      </c>
      <c r="Y66" s="12">
        <v>286.3</v>
      </c>
      <c r="Z66" s="12">
        <v>295.5</v>
      </c>
      <c r="AA66" s="12">
        <v>136.4</v>
      </c>
      <c r="AB66" s="12">
        <v>15117.4</v>
      </c>
      <c r="AC66" s="12">
        <v>15057.7</v>
      </c>
      <c r="AD66" s="12">
        <v>0</v>
      </c>
      <c r="AE66" s="12">
        <v>1914.9</v>
      </c>
      <c r="AF66" s="12">
        <v>0</v>
      </c>
      <c r="AG66" s="12">
        <v>1914.9</v>
      </c>
      <c r="AH66" s="12">
        <v>0</v>
      </c>
      <c r="AI66" s="12">
        <v>0</v>
      </c>
      <c r="AJ66" s="12">
        <v>0</v>
      </c>
      <c r="AK66" s="12">
        <v>0</v>
      </c>
      <c r="AL66" s="12">
        <v>16972.6</v>
      </c>
      <c r="AM66" s="60">
        <v>32090</v>
      </c>
    </row>
    <row r="67" spans="1:39" ht="12.75">
      <c r="A67" s="62"/>
      <c r="B67" s="59"/>
      <c r="C67" s="12" t="s">
        <v>59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30.2</v>
      </c>
      <c r="AD67" s="12">
        <v>0</v>
      </c>
      <c r="AE67" s="12">
        <v>50.9</v>
      </c>
      <c r="AF67" s="12">
        <v>0</v>
      </c>
      <c r="AG67" s="12">
        <v>50.9</v>
      </c>
      <c r="AH67" s="12">
        <v>0</v>
      </c>
      <c r="AI67" s="12">
        <v>0</v>
      </c>
      <c r="AJ67" s="12">
        <v>0</v>
      </c>
      <c r="AK67" s="12">
        <v>0</v>
      </c>
      <c r="AL67" s="12">
        <v>81.1</v>
      </c>
      <c r="AM67" s="60">
        <v>81.1</v>
      </c>
    </row>
    <row r="68" spans="1:39" s="2" customFormat="1" ht="15.75">
      <c r="A68" s="62"/>
      <c r="B68" s="59"/>
      <c r="C68" s="6" t="s">
        <v>60</v>
      </c>
      <c r="D68" s="6">
        <v>2949.9</v>
      </c>
      <c r="E68" s="6">
        <v>2546.1</v>
      </c>
      <c r="F68" s="6">
        <v>679.1</v>
      </c>
      <c r="G68" s="6">
        <v>653.9</v>
      </c>
      <c r="H68" s="6">
        <v>840.6</v>
      </c>
      <c r="I68" s="6">
        <v>2470.2</v>
      </c>
      <c r="J68" s="6">
        <v>2082.1</v>
      </c>
      <c r="K68" s="6">
        <v>895.7</v>
      </c>
      <c r="L68" s="6">
        <v>4107.7</v>
      </c>
      <c r="M68" s="6">
        <v>1127.7</v>
      </c>
      <c r="N68" s="6">
        <v>4270.3</v>
      </c>
      <c r="O68" s="6">
        <v>3653.7</v>
      </c>
      <c r="P68" s="6">
        <v>1553.7</v>
      </c>
      <c r="Q68" s="6">
        <v>117.9</v>
      </c>
      <c r="R68" s="6">
        <v>4893.8</v>
      </c>
      <c r="S68" s="6">
        <v>8477.9</v>
      </c>
      <c r="T68" s="6">
        <v>4636.6</v>
      </c>
      <c r="U68" s="6">
        <v>796.3</v>
      </c>
      <c r="V68" s="6">
        <v>0</v>
      </c>
      <c r="W68" s="6">
        <v>1366.8</v>
      </c>
      <c r="X68" s="6">
        <v>994.2</v>
      </c>
      <c r="Y68" s="6">
        <v>536.5</v>
      </c>
      <c r="Z68" s="6">
        <v>1142.8</v>
      </c>
      <c r="AA68" s="6">
        <v>593.4</v>
      </c>
      <c r="AB68" s="6">
        <v>51386.9</v>
      </c>
      <c r="AC68" s="6">
        <v>99728.9</v>
      </c>
      <c r="AD68" s="6">
        <v>0</v>
      </c>
      <c r="AE68" s="6">
        <v>3687.4</v>
      </c>
      <c r="AF68" s="6">
        <v>0</v>
      </c>
      <c r="AG68" s="6">
        <v>3687.4</v>
      </c>
      <c r="AH68" s="6">
        <v>0</v>
      </c>
      <c r="AI68" s="6">
        <v>0</v>
      </c>
      <c r="AJ68" s="6">
        <v>0</v>
      </c>
      <c r="AK68" s="6">
        <v>0</v>
      </c>
      <c r="AL68" s="6">
        <v>103416.3</v>
      </c>
      <c r="AM68" s="61">
        <v>154803.2</v>
      </c>
    </row>
    <row r="69" spans="1:39" ht="12.75">
      <c r="A69" s="58" t="s">
        <v>16</v>
      </c>
      <c r="B69" s="59" t="s">
        <v>70</v>
      </c>
      <c r="C69" s="12" t="s">
        <v>57</v>
      </c>
      <c r="D69" s="12">
        <v>407.7</v>
      </c>
      <c r="E69" s="12">
        <v>1373.4</v>
      </c>
      <c r="F69" s="12">
        <v>633.5</v>
      </c>
      <c r="G69" s="12">
        <v>427.5</v>
      </c>
      <c r="H69" s="12">
        <v>379.6</v>
      </c>
      <c r="I69" s="12">
        <v>1903.1</v>
      </c>
      <c r="J69" s="12">
        <v>1686.3</v>
      </c>
      <c r="K69" s="12">
        <v>2161.5</v>
      </c>
      <c r="L69" s="12">
        <v>4219</v>
      </c>
      <c r="M69" s="12">
        <v>636.9</v>
      </c>
      <c r="N69" s="12">
        <v>1718.1</v>
      </c>
      <c r="O69" s="12">
        <v>1468.4</v>
      </c>
      <c r="P69" s="12">
        <v>811.1</v>
      </c>
      <c r="Q69" s="12">
        <v>61.8</v>
      </c>
      <c r="R69" s="12">
        <v>2937</v>
      </c>
      <c r="S69" s="12">
        <v>5686.5</v>
      </c>
      <c r="T69" s="12">
        <v>5744.8</v>
      </c>
      <c r="U69" s="12">
        <v>1218.1</v>
      </c>
      <c r="V69" s="12">
        <v>0</v>
      </c>
      <c r="W69" s="12">
        <v>817.6</v>
      </c>
      <c r="X69" s="12">
        <v>832.4</v>
      </c>
      <c r="Y69" s="12">
        <v>707.2</v>
      </c>
      <c r="Z69" s="12">
        <v>267.2</v>
      </c>
      <c r="AA69" s="12">
        <v>694.9</v>
      </c>
      <c r="AB69" s="12">
        <v>36793.6</v>
      </c>
      <c r="AC69" s="12">
        <v>10415.1</v>
      </c>
      <c r="AD69" s="12">
        <v>0</v>
      </c>
      <c r="AE69" s="12">
        <v>1846.8</v>
      </c>
      <c r="AF69" s="12">
        <v>0</v>
      </c>
      <c r="AG69" s="12">
        <v>1846.8</v>
      </c>
      <c r="AH69" s="12">
        <v>3176</v>
      </c>
      <c r="AI69" s="12">
        <v>2749.3</v>
      </c>
      <c r="AJ69" s="12">
        <v>379.2</v>
      </c>
      <c r="AK69" s="12">
        <v>47.5</v>
      </c>
      <c r="AL69" s="12">
        <v>15437.9</v>
      </c>
      <c r="AM69" s="60">
        <v>52231.5</v>
      </c>
    </row>
    <row r="70" spans="1:39" ht="12.75">
      <c r="A70" s="62"/>
      <c r="B70" s="59"/>
      <c r="C70" s="12" t="s">
        <v>58</v>
      </c>
      <c r="D70" s="12">
        <v>54.3</v>
      </c>
      <c r="E70" s="12">
        <v>230.4</v>
      </c>
      <c r="F70" s="12">
        <v>123.8</v>
      </c>
      <c r="G70" s="12">
        <v>106.3</v>
      </c>
      <c r="H70" s="12">
        <v>55.9</v>
      </c>
      <c r="I70" s="12">
        <v>479.3</v>
      </c>
      <c r="J70" s="12">
        <v>545.4</v>
      </c>
      <c r="K70" s="12">
        <v>266</v>
      </c>
      <c r="L70" s="12">
        <v>1294.1</v>
      </c>
      <c r="M70" s="12">
        <v>175.8</v>
      </c>
      <c r="N70" s="12">
        <v>665.8</v>
      </c>
      <c r="O70" s="12">
        <v>583.9</v>
      </c>
      <c r="P70" s="12">
        <v>139.8</v>
      </c>
      <c r="Q70" s="12">
        <v>11.8</v>
      </c>
      <c r="R70" s="12">
        <v>1795.9</v>
      </c>
      <c r="S70" s="12">
        <v>1874.6</v>
      </c>
      <c r="T70" s="12">
        <v>2618.2</v>
      </c>
      <c r="U70" s="12">
        <v>61.5</v>
      </c>
      <c r="V70" s="12">
        <v>0</v>
      </c>
      <c r="W70" s="12">
        <v>159.1</v>
      </c>
      <c r="X70" s="12">
        <v>92.2</v>
      </c>
      <c r="Y70" s="12">
        <v>63.1</v>
      </c>
      <c r="Z70" s="12">
        <v>57.4</v>
      </c>
      <c r="AA70" s="12">
        <v>114.8</v>
      </c>
      <c r="AB70" s="12">
        <v>11569.4</v>
      </c>
      <c r="AC70" s="12">
        <v>393.3</v>
      </c>
      <c r="AD70" s="12">
        <v>0</v>
      </c>
      <c r="AE70" s="12">
        <v>13.8</v>
      </c>
      <c r="AF70" s="12">
        <v>0</v>
      </c>
      <c r="AG70" s="12">
        <v>13.8</v>
      </c>
      <c r="AH70" s="12">
        <v>0</v>
      </c>
      <c r="AI70" s="12">
        <v>0</v>
      </c>
      <c r="AJ70" s="12">
        <v>0</v>
      </c>
      <c r="AK70" s="12">
        <v>0</v>
      </c>
      <c r="AL70" s="12">
        <v>407.1</v>
      </c>
      <c r="AM70" s="60">
        <v>11976.5</v>
      </c>
    </row>
    <row r="71" spans="1:39" ht="12.75">
      <c r="A71" s="62"/>
      <c r="B71" s="59"/>
      <c r="C71" s="12" t="s">
        <v>59</v>
      </c>
      <c r="D71" s="12">
        <v>0</v>
      </c>
      <c r="E71" s="12">
        <v>0</v>
      </c>
      <c r="F71" s="12">
        <v>0</v>
      </c>
      <c r="G71" s="12">
        <v>1.9</v>
      </c>
      <c r="H71" s="12">
        <v>0</v>
      </c>
      <c r="I71" s="12">
        <v>5.6</v>
      </c>
      <c r="J71" s="12">
        <v>15.8</v>
      </c>
      <c r="K71" s="12">
        <v>7</v>
      </c>
      <c r="L71" s="12">
        <v>48.6</v>
      </c>
      <c r="M71" s="12">
        <v>0</v>
      </c>
      <c r="N71" s="12">
        <v>23.4</v>
      </c>
      <c r="O71" s="12">
        <v>75.5</v>
      </c>
      <c r="P71" s="12">
        <v>0.6</v>
      </c>
      <c r="Q71" s="12">
        <v>0</v>
      </c>
      <c r="R71" s="12">
        <v>0</v>
      </c>
      <c r="S71" s="12">
        <v>0</v>
      </c>
      <c r="T71" s="12">
        <v>118.5</v>
      </c>
      <c r="U71" s="12">
        <v>1.3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298.2</v>
      </c>
      <c r="AC71" s="12">
        <v>44.1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44.1</v>
      </c>
      <c r="AM71" s="60">
        <v>342.3</v>
      </c>
    </row>
    <row r="72" spans="1:39" s="2" customFormat="1" ht="15.75">
      <c r="A72" s="62"/>
      <c r="B72" s="59"/>
      <c r="C72" s="6" t="s">
        <v>60</v>
      </c>
      <c r="D72" s="6">
        <v>462</v>
      </c>
      <c r="E72" s="6">
        <v>1603.8</v>
      </c>
      <c r="F72" s="6">
        <v>757.3</v>
      </c>
      <c r="G72" s="6">
        <v>535.7</v>
      </c>
      <c r="H72" s="6">
        <v>435.5</v>
      </c>
      <c r="I72" s="6">
        <v>2388</v>
      </c>
      <c r="J72" s="6">
        <v>2247.5</v>
      </c>
      <c r="K72" s="6">
        <v>2434.5</v>
      </c>
      <c r="L72" s="6">
        <v>5561.7</v>
      </c>
      <c r="M72" s="6">
        <v>812.7</v>
      </c>
      <c r="N72" s="6">
        <v>2407.3</v>
      </c>
      <c r="O72" s="6">
        <v>2127.8</v>
      </c>
      <c r="P72" s="6">
        <v>951.5</v>
      </c>
      <c r="Q72" s="6">
        <v>73.6</v>
      </c>
      <c r="R72" s="6">
        <v>4732.9</v>
      </c>
      <c r="S72" s="6">
        <v>7561.1</v>
      </c>
      <c r="T72" s="6">
        <v>8481.5</v>
      </c>
      <c r="U72" s="6">
        <v>1280.9</v>
      </c>
      <c r="V72" s="6">
        <v>0</v>
      </c>
      <c r="W72" s="6">
        <v>976.7</v>
      </c>
      <c r="X72" s="6">
        <v>924.6</v>
      </c>
      <c r="Y72" s="6">
        <v>770.3</v>
      </c>
      <c r="Z72" s="6">
        <v>324.6</v>
      </c>
      <c r="AA72" s="6">
        <v>809.7</v>
      </c>
      <c r="AB72" s="6">
        <v>48661.2</v>
      </c>
      <c r="AC72" s="6">
        <v>10852.5</v>
      </c>
      <c r="AD72" s="6">
        <v>0</v>
      </c>
      <c r="AE72" s="6">
        <v>1860.6</v>
      </c>
      <c r="AF72" s="6">
        <v>0</v>
      </c>
      <c r="AG72" s="6">
        <v>1860.6</v>
      </c>
      <c r="AH72" s="6">
        <v>3176</v>
      </c>
      <c r="AI72" s="6">
        <v>2749.3</v>
      </c>
      <c r="AJ72" s="6">
        <v>379.2</v>
      </c>
      <c r="AK72" s="6">
        <v>47.5</v>
      </c>
      <c r="AL72" s="6">
        <v>15889.1</v>
      </c>
      <c r="AM72" s="61">
        <v>64550.3</v>
      </c>
    </row>
    <row r="73" spans="1:39" ht="12.75">
      <c r="A73" s="58" t="s">
        <v>17</v>
      </c>
      <c r="B73" s="59" t="s">
        <v>40</v>
      </c>
      <c r="C73" s="12" t="s">
        <v>57</v>
      </c>
      <c r="D73" s="12">
        <v>395.8</v>
      </c>
      <c r="E73" s="12">
        <v>120.8</v>
      </c>
      <c r="F73" s="12">
        <v>87.3</v>
      </c>
      <c r="G73" s="12">
        <v>36.8</v>
      </c>
      <c r="H73" s="12">
        <v>43.2</v>
      </c>
      <c r="I73" s="12">
        <v>103.6</v>
      </c>
      <c r="J73" s="12">
        <v>109.1</v>
      </c>
      <c r="K73" s="12">
        <v>155.8</v>
      </c>
      <c r="L73" s="12">
        <v>263.5</v>
      </c>
      <c r="M73" s="12">
        <v>136.4</v>
      </c>
      <c r="N73" s="12">
        <v>272.8</v>
      </c>
      <c r="O73" s="12">
        <v>113.6</v>
      </c>
      <c r="P73" s="12">
        <v>141.6</v>
      </c>
      <c r="Q73" s="12">
        <v>64.5</v>
      </c>
      <c r="R73" s="12">
        <v>317.9</v>
      </c>
      <c r="S73" s="12">
        <v>562.3</v>
      </c>
      <c r="T73" s="12">
        <v>352.9</v>
      </c>
      <c r="U73" s="12">
        <v>2278.7</v>
      </c>
      <c r="V73" s="12">
        <v>35442.2</v>
      </c>
      <c r="W73" s="12">
        <v>341.9</v>
      </c>
      <c r="X73" s="12">
        <v>78.6</v>
      </c>
      <c r="Y73" s="12">
        <v>19.4</v>
      </c>
      <c r="Z73" s="12">
        <v>21.4</v>
      </c>
      <c r="AA73" s="12">
        <v>151.5</v>
      </c>
      <c r="AB73" s="12">
        <v>41611.6</v>
      </c>
      <c r="AC73" s="12">
        <v>5165.3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5165.3</v>
      </c>
      <c r="AM73" s="60">
        <v>46776.9</v>
      </c>
    </row>
    <row r="74" spans="1:39" ht="12.75">
      <c r="A74" s="62"/>
      <c r="B74" s="59"/>
      <c r="C74" s="12" t="s">
        <v>58</v>
      </c>
      <c r="D74" s="12">
        <v>17.9</v>
      </c>
      <c r="E74" s="12">
        <v>8.9</v>
      </c>
      <c r="F74" s="12">
        <v>5.9</v>
      </c>
      <c r="G74" s="12">
        <v>0.7</v>
      </c>
      <c r="H74" s="12">
        <v>0</v>
      </c>
      <c r="I74" s="12">
        <v>6.7</v>
      </c>
      <c r="J74" s="12">
        <v>14.2</v>
      </c>
      <c r="K74" s="12">
        <v>7</v>
      </c>
      <c r="L74" s="12">
        <v>5.5</v>
      </c>
      <c r="M74" s="12">
        <v>4.5</v>
      </c>
      <c r="N74" s="12">
        <v>10.8</v>
      </c>
      <c r="O74" s="12">
        <v>9.4</v>
      </c>
      <c r="P74" s="12">
        <v>5.4</v>
      </c>
      <c r="Q74" s="12">
        <v>8.6</v>
      </c>
      <c r="R74" s="12">
        <v>19.8</v>
      </c>
      <c r="S74" s="12">
        <v>5.6</v>
      </c>
      <c r="T74" s="12">
        <v>13</v>
      </c>
      <c r="U74" s="12">
        <v>446.6</v>
      </c>
      <c r="V74" s="12">
        <v>0</v>
      </c>
      <c r="W74" s="12">
        <v>7.6</v>
      </c>
      <c r="X74" s="12">
        <v>0</v>
      </c>
      <c r="Y74" s="12">
        <v>0</v>
      </c>
      <c r="Z74" s="12">
        <v>0</v>
      </c>
      <c r="AA74" s="12">
        <v>5.3</v>
      </c>
      <c r="AB74" s="12">
        <v>603.4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60">
        <v>603.4</v>
      </c>
    </row>
    <row r="75" spans="1:39" ht="12.75">
      <c r="A75" s="62"/>
      <c r="B75" s="59"/>
      <c r="C75" s="12" t="s">
        <v>59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20.6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20.6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60">
        <v>20.6</v>
      </c>
    </row>
    <row r="76" spans="1:39" s="2" customFormat="1" ht="15.75">
      <c r="A76" s="62"/>
      <c r="B76" s="59"/>
      <c r="C76" s="6" t="s">
        <v>60</v>
      </c>
      <c r="D76" s="6">
        <v>413.7</v>
      </c>
      <c r="E76" s="6">
        <v>129.7</v>
      </c>
      <c r="F76" s="6">
        <v>93.2</v>
      </c>
      <c r="G76" s="6">
        <v>37.5</v>
      </c>
      <c r="H76" s="6">
        <v>43.2</v>
      </c>
      <c r="I76" s="6">
        <v>110.3</v>
      </c>
      <c r="J76" s="6">
        <v>123.3</v>
      </c>
      <c r="K76" s="6">
        <v>162.8</v>
      </c>
      <c r="L76" s="6">
        <v>269</v>
      </c>
      <c r="M76" s="6">
        <v>140.9</v>
      </c>
      <c r="N76" s="6">
        <v>283.6</v>
      </c>
      <c r="O76" s="6">
        <v>123</v>
      </c>
      <c r="P76" s="6">
        <v>147</v>
      </c>
      <c r="Q76" s="6">
        <v>73.1</v>
      </c>
      <c r="R76" s="6">
        <v>337.7</v>
      </c>
      <c r="S76" s="6">
        <v>567.9</v>
      </c>
      <c r="T76" s="6">
        <v>365.9</v>
      </c>
      <c r="U76" s="6">
        <v>2745.9</v>
      </c>
      <c r="V76" s="6">
        <v>35442.2</v>
      </c>
      <c r="W76" s="6">
        <v>349.5</v>
      </c>
      <c r="X76" s="6">
        <v>78.6</v>
      </c>
      <c r="Y76" s="6">
        <v>19.4</v>
      </c>
      <c r="Z76" s="6">
        <v>21.4</v>
      </c>
      <c r="AA76" s="6">
        <v>156.8</v>
      </c>
      <c r="AB76" s="6">
        <v>42235.6</v>
      </c>
      <c r="AC76" s="6">
        <v>5165.3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5165.3</v>
      </c>
      <c r="AM76" s="61">
        <v>47400.9</v>
      </c>
    </row>
    <row r="77" spans="1:39" ht="12.75">
      <c r="A77" s="58" t="s">
        <v>19</v>
      </c>
      <c r="B77" s="59" t="s">
        <v>71</v>
      </c>
      <c r="C77" s="12" t="s">
        <v>57</v>
      </c>
      <c r="D77" s="12">
        <v>17.7</v>
      </c>
      <c r="E77" s="12">
        <v>1081.7</v>
      </c>
      <c r="F77" s="12">
        <v>894.8</v>
      </c>
      <c r="G77" s="12">
        <v>743.7</v>
      </c>
      <c r="H77" s="12">
        <v>736.2</v>
      </c>
      <c r="I77" s="12">
        <v>1750.9</v>
      </c>
      <c r="J77" s="12">
        <v>1413.9</v>
      </c>
      <c r="K77" s="12">
        <v>1118.2</v>
      </c>
      <c r="L77" s="12">
        <v>1352.5</v>
      </c>
      <c r="M77" s="12">
        <v>757.8</v>
      </c>
      <c r="N77" s="12">
        <v>2280.6</v>
      </c>
      <c r="O77" s="12">
        <v>892.1</v>
      </c>
      <c r="P77" s="12">
        <v>904.4</v>
      </c>
      <c r="Q77" s="12">
        <v>478.2</v>
      </c>
      <c r="R77" s="12">
        <v>2317</v>
      </c>
      <c r="S77" s="12">
        <v>10291.5</v>
      </c>
      <c r="T77" s="12">
        <v>1750.2</v>
      </c>
      <c r="U77" s="12">
        <v>4736.8</v>
      </c>
      <c r="V77" s="12">
        <v>0</v>
      </c>
      <c r="W77" s="12">
        <v>2443.1</v>
      </c>
      <c r="X77" s="12">
        <v>4813.3</v>
      </c>
      <c r="Y77" s="12">
        <v>616.6</v>
      </c>
      <c r="Z77" s="12">
        <v>862</v>
      </c>
      <c r="AA77" s="12">
        <v>2703.4</v>
      </c>
      <c r="AB77" s="12">
        <v>44956.6</v>
      </c>
      <c r="AC77" s="12">
        <v>36535</v>
      </c>
      <c r="AD77" s="12">
        <v>0</v>
      </c>
      <c r="AE77" s="12">
        <v>409.2</v>
      </c>
      <c r="AF77" s="12">
        <v>0</v>
      </c>
      <c r="AG77" s="12">
        <v>409.2</v>
      </c>
      <c r="AH77" s="12">
        <v>517.7</v>
      </c>
      <c r="AI77" s="12">
        <v>505.5</v>
      </c>
      <c r="AJ77" s="12">
        <v>12.2</v>
      </c>
      <c r="AK77" s="12">
        <v>0</v>
      </c>
      <c r="AL77" s="12">
        <v>37461.9</v>
      </c>
      <c r="AM77" s="60">
        <v>82418.5</v>
      </c>
    </row>
    <row r="78" spans="1:39" ht="12.75">
      <c r="A78" s="62"/>
      <c r="B78" s="59"/>
      <c r="C78" s="12" t="s">
        <v>58</v>
      </c>
      <c r="D78" s="12">
        <v>0</v>
      </c>
      <c r="E78" s="12">
        <v>130.9</v>
      </c>
      <c r="F78" s="12">
        <v>186.4</v>
      </c>
      <c r="G78" s="12">
        <v>177.2</v>
      </c>
      <c r="H78" s="12">
        <v>78.5</v>
      </c>
      <c r="I78" s="12">
        <v>322.9</v>
      </c>
      <c r="J78" s="12">
        <v>208.2</v>
      </c>
      <c r="K78" s="12">
        <v>152.8</v>
      </c>
      <c r="L78" s="12">
        <v>219.4</v>
      </c>
      <c r="M78" s="12">
        <v>131.6</v>
      </c>
      <c r="N78" s="12">
        <v>497.3</v>
      </c>
      <c r="O78" s="12">
        <v>256.5</v>
      </c>
      <c r="P78" s="12">
        <v>136.8</v>
      </c>
      <c r="Q78" s="12">
        <v>53.9</v>
      </c>
      <c r="R78" s="12">
        <v>213.9</v>
      </c>
      <c r="S78" s="12">
        <v>1245.3</v>
      </c>
      <c r="T78" s="12">
        <v>221.5</v>
      </c>
      <c r="U78" s="12">
        <v>1212.9</v>
      </c>
      <c r="V78" s="12">
        <v>0</v>
      </c>
      <c r="W78" s="12">
        <v>506.2</v>
      </c>
      <c r="X78" s="12">
        <v>701.1</v>
      </c>
      <c r="Y78" s="12">
        <v>69.3</v>
      </c>
      <c r="Z78" s="12">
        <v>128.7</v>
      </c>
      <c r="AA78" s="12">
        <v>227.8</v>
      </c>
      <c r="AB78" s="12">
        <v>7079.1</v>
      </c>
      <c r="AC78" s="12">
        <v>22.1</v>
      </c>
      <c r="AD78" s="12">
        <v>0</v>
      </c>
      <c r="AE78" s="12">
        <v>470.8</v>
      </c>
      <c r="AF78" s="12">
        <v>0</v>
      </c>
      <c r="AG78" s="12">
        <v>470.8</v>
      </c>
      <c r="AH78" s="12">
        <v>0</v>
      </c>
      <c r="AI78" s="12">
        <v>0</v>
      </c>
      <c r="AJ78" s="12">
        <v>0</v>
      </c>
      <c r="AK78" s="12">
        <v>0</v>
      </c>
      <c r="AL78" s="12">
        <v>492.9</v>
      </c>
      <c r="AM78" s="60">
        <v>7572</v>
      </c>
    </row>
    <row r="79" spans="1:39" ht="12.75">
      <c r="A79" s="62"/>
      <c r="B79" s="59"/>
      <c r="C79" s="12" t="s">
        <v>59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2.6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64.4</v>
      </c>
      <c r="X79" s="12">
        <v>0</v>
      </c>
      <c r="Y79" s="12">
        <v>0</v>
      </c>
      <c r="Z79" s="12">
        <v>0</v>
      </c>
      <c r="AA79" s="12">
        <v>0</v>
      </c>
      <c r="AB79" s="12">
        <v>67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60">
        <v>67</v>
      </c>
    </row>
    <row r="80" spans="1:39" s="2" customFormat="1" ht="15.75">
      <c r="A80" s="62"/>
      <c r="B80" s="59"/>
      <c r="C80" s="6" t="s">
        <v>60</v>
      </c>
      <c r="D80" s="6">
        <v>17.7</v>
      </c>
      <c r="E80" s="6">
        <v>1212.6</v>
      </c>
      <c r="F80" s="6">
        <v>1081.2</v>
      </c>
      <c r="G80" s="6">
        <v>920.9</v>
      </c>
      <c r="H80" s="6">
        <v>814.7</v>
      </c>
      <c r="I80" s="6">
        <v>2073.8</v>
      </c>
      <c r="J80" s="6">
        <v>1622.1</v>
      </c>
      <c r="K80" s="6">
        <v>1271</v>
      </c>
      <c r="L80" s="6">
        <v>1571.9</v>
      </c>
      <c r="M80" s="6">
        <v>889.4</v>
      </c>
      <c r="N80" s="6">
        <v>2777.9</v>
      </c>
      <c r="O80" s="6">
        <v>1151.2</v>
      </c>
      <c r="P80" s="6">
        <v>1041.2</v>
      </c>
      <c r="Q80" s="6">
        <v>532.1</v>
      </c>
      <c r="R80" s="6">
        <v>2530.9</v>
      </c>
      <c r="S80" s="6">
        <v>11536.8</v>
      </c>
      <c r="T80" s="6">
        <v>1971.7</v>
      </c>
      <c r="U80" s="6">
        <v>5949.7</v>
      </c>
      <c r="V80" s="6">
        <v>0</v>
      </c>
      <c r="W80" s="6">
        <v>3013.7</v>
      </c>
      <c r="X80" s="6">
        <v>5514.4</v>
      </c>
      <c r="Y80" s="6">
        <v>685.9</v>
      </c>
      <c r="Z80" s="6">
        <v>990.7</v>
      </c>
      <c r="AA80" s="6">
        <v>2931.2</v>
      </c>
      <c r="AB80" s="6">
        <v>52102.7</v>
      </c>
      <c r="AC80" s="6">
        <v>36557.1</v>
      </c>
      <c r="AD80" s="6">
        <v>0</v>
      </c>
      <c r="AE80" s="6">
        <v>880</v>
      </c>
      <c r="AF80" s="6">
        <v>0</v>
      </c>
      <c r="AG80" s="6">
        <v>880</v>
      </c>
      <c r="AH80" s="6">
        <v>517.7</v>
      </c>
      <c r="AI80" s="6">
        <v>505.5</v>
      </c>
      <c r="AJ80" s="6">
        <v>12.2</v>
      </c>
      <c r="AK80" s="6">
        <v>0</v>
      </c>
      <c r="AL80" s="6">
        <v>37954.8</v>
      </c>
      <c r="AM80" s="61">
        <v>90057.5</v>
      </c>
    </row>
    <row r="81" spans="1:39" ht="12.75">
      <c r="A81" s="58" t="s">
        <v>20</v>
      </c>
      <c r="B81" s="59" t="s">
        <v>43</v>
      </c>
      <c r="C81" s="12" t="s">
        <v>57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32802.5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32802.5</v>
      </c>
      <c r="AM81" s="60">
        <v>32802.5</v>
      </c>
    </row>
    <row r="82" spans="1:39" ht="12.75">
      <c r="A82" s="62"/>
      <c r="B82" s="59"/>
      <c r="C82" s="12" t="s">
        <v>58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60">
        <v>0</v>
      </c>
    </row>
    <row r="83" spans="1:39" ht="12.75">
      <c r="A83" s="62"/>
      <c r="B83" s="59"/>
      <c r="C83" s="12" t="s">
        <v>59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60">
        <v>0</v>
      </c>
    </row>
    <row r="84" spans="1:39" s="2" customFormat="1" ht="15.75">
      <c r="A84" s="62"/>
      <c r="B84" s="59"/>
      <c r="C84" s="6" t="s">
        <v>60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32802.5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32802.5</v>
      </c>
      <c r="AM84" s="61">
        <v>32802.5</v>
      </c>
    </row>
    <row r="85" spans="1:39" ht="12.75">
      <c r="A85" s="58" t="s">
        <v>21</v>
      </c>
      <c r="B85" s="59" t="s">
        <v>44</v>
      </c>
      <c r="C85" s="12" t="s">
        <v>57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1.5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15.9</v>
      </c>
      <c r="Z85" s="12">
        <v>0</v>
      </c>
      <c r="AA85" s="12">
        <v>0</v>
      </c>
      <c r="AB85" s="12">
        <v>17.4</v>
      </c>
      <c r="AC85" s="12">
        <v>9311.4</v>
      </c>
      <c r="AD85" s="12">
        <v>11199.5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20510.9</v>
      </c>
      <c r="AM85" s="60">
        <v>20528.3</v>
      </c>
    </row>
    <row r="86" spans="1:39" ht="12.75">
      <c r="A86" s="62"/>
      <c r="B86" s="59"/>
      <c r="C86" s="12" t="s">
        <v>58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60">
        <v>0</v>
      </c>
    </row>
    <row r="87" spans="1:39" ht="12.75">
      <c r="A87" s="62"/>
      <c r="B87" s="59"/>
      <c r="C87" s="12" t="s">
        <v>59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60">
        <v>0</v>
      </c>
    </row>
    <row r="88" spans="1:39" s="2" customFormat="1" ht="15.75">
      <c r="A88" s="62"/>
      <c r="B88" s="59"/>
      <c r="C88" s="6" t="s">
        <v>60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1.5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15.9</v>
      </c>
      <c r="Z88" s="6">
        <v>0</v>
      </c>
      <c r="AA88" s="6">
        <v>0</v>
      </c>
      <c r="AB88" s="6">
        <v>17.4</v>
      </c>
      <c r="AC88" s="6">
        <v>9311.4</v>
      </c>
      <c r="AD88" s="6">
        <v>11199.5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20510.9</v>
      </c>
      <c r="AM88" s="61">
        <v>20528.3</v>
      </c>
    </row>
    <row r="89" spans="1:39" ht="12.75">
      <c r="A89" s="58" t="s">
        <v>22</v>
      </c>
      <c r="B89" s="59" t="s">
        <v>45</v>
      </c>
      <c r="C89" s="12" t="s">
        <v>57</v>
      </c>
      <c r="D89" s="12">
        <v>172.5</v>
      </c>
      <c r="E89" s="12">
        <v>9.9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1.5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370.3</v>
      </c>
      <c r="V89" s="12">
        <v>0</v>
      </c>
      <c r="W89" s="12">
        <v>0</v>
      </c>
      <c r="X89" s="12">
        <v>0</v>
      </c>
      <c r="Y89" s="12">
        <v>54.5</v>
      </c>
      <c r="Z89" s="12">
        <v>1864.3</v>
      </c>
      <c r="AA89" s="12">
        <v>1</v>
      </c>
      <c r="AB89" s="12">
        <v>2474</v>
      </c>
      <c r="AC89" s="12">
        <v>17792.2</v>
      </c>
      <c r="AD89" s="12">
        <v>18852.3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36644.5</v>
      </c>
      <c r="AM89" s="60">
        <v>39118.5</v>
      </c>
    </row>
    <row r="90" spans="1:39" ht="12.75">
      <c r="A90" s="62"/>
      <c r="B90" s="59"/>
      <c r="C90" s="12" t="s">
        <v>58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60">
        <v>0</v>
      </c>
    </row>
    <row r="91" spans="1:39" ht="12.75">
      <c r="A91" s="62"/>
      <c r="B91" s="59"/>
      <c r="C91" s="12" t="s">
        <v>59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60">
        <v>0</v>
      </c>
    </row>
    <row r="92" spans="1:39" s="2" customFormat="1" ht="15.75">
      <c r="A92" s="62"/>
      <c r="B92" s="59"/>
      <c r="C92" s="6" t="s">
        <v>60</v>
      </c>
      <c r="D92" s="6">
        <v>172.5</v>
      </c>
      <c r="E92" s="6">
        <v>9.9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1.5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370.3</v>
      </c>
      <c r="V92" s="6">
        <v>0</v>
      </c>
      <c r="W92" s="6">
        <v>0</v>
      </c>
      <c r="X92" s="6">
        <v>0</v>
      </c>
      <c r="Y92" s="6">
        <v>54.5</v>
      </c>
      <c r="Z92" s="6">
        <v>1864.3</v>
      </c>
      <c r="AA92" s="6">
        <v>1</v>
      </c>
      <c r="AB92" s="6">
        <v>2474</v>
      </c>
      <c r="AC92" s="6">
        <v>17792.2</v>
      </c>
      <c r="AD92" s="6">
        <v>18852.3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36644.5</v>
      </c>
      <c r="AM92" s="61">
        <v>39118.5</v>
      </c>
    </row>
    <row r="93" spans="1:39" ht="12.75">
      <c r="A93" s="58" t="s">
        <v>23</v>
      </c>
      <c r="B93" s="59" t="s">
        <v>72</v>
      </c>
      <c r="C93" s="12" t="s">
        <v>57</v>
      </c>
      <c r="D93" s="12">
        <v>9.1</v>
      </c>
      <c r="E93" s="12">
        <v>4.7</v>
      </c>
      <c r="F93" s="12">
        <v>0.4</v>
      </c>
      <c r="G93" s="12">
        <v>2.1</v>
      </c>
      <c r="H93" s="12">
        <v>0</v>
      </c>
      <c r="I93" s="12">
        <v>28.7</v>
      </c>
      <c r="J93" s="12">
        <v>0</v>
      </c>
      <c r="K93" s="12">
        <v>0</v>
      </c>
      <c r="L93" s="12">
        <v>0</v>
      </c>
      <c r="M93" s="12">
        <v>0</v>
      </c>
      <c r="N93" s="12">
        <v>4.1</v>
      </c>
      <c r="O93" s="12">
        <v>2.9</v>
      </c>
      <c r="P93" s="12">
        <v>0</v>
      </c>
      <c r="Q93" s="12">
        <v>0</v>
      </c>
      <c r="R93" s="12">
        <v>93.4</v>
      </c>
      <c r="S93" s="12">
        <v>135.3</v>
      </c>
      <c r="T93" s="12">
        <v>24.7</v>
      </c>
      <c r="U93" s="12">
        <v>17.8</v>
      </c>
      <c r="V93" s="12">
        <v>0</v>
      </c>
      <c r="W93" s="12">
        <v>877.2</v>
      </c>
      <c r="X93" s="12">
        <v>1484.3</v>
      </c>
      <c r="Y93" s="12">
        <v>17</v>
      </c>
      <c r="Z93" s="12">
        <v>272.2</v>
      </c>
      <c r="AA93" s="12">
        <v>1113.9</v>
      </c>
      <c r="AB93" s="12">
        <v>4087.8</v>
      </c>
      <c r="AC93" s="12">
        <v>23369.5</v>
      </c>
      <c r="AD93" s="12">
        <v>1561.9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24931.4</v>
      </c>
      <c r="AM93" s="60">
        <v>29019.2</v>
      </c>
    </row>
    <row r="94" spans="1:39" ht="12.75">
      <c r="A94" s="62"/>
      <c r="B94" s="59"/>
      <c r="C94" s="12" t="s">
        <v>58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12.2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1442</v>
      </c>
      <c r="AB94" s="12">
        <v>1454.2</v>
      </c>
      <c r="AC94" s="12">
        <v>12.1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12.1</v>
      </c>
      <c r="AM94" s="60">
        <v>1466.3</v>
      </c>
    </row>
    <row r="95" spans="1:39" ht="12.75">
      <c r="A95" s="62"/>
      <c r="B95" s="59"/>
      <c r="C95" s="12" t="s">
        <v>59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60">
        <v>0</v>
      </c>
    </row>
    <row r="96" spans="1:39" s="2" customFormat="1" ht="15.75">
      <c r="A96" s="62"/>
      <c r="B96" s="59"/>
      <c r="C96" s="6" t="s">
        <v>60</v>
      </c>
      <c r="D96" s="6">
        <v>9.1</v>
      </c>
      <c r="E96" s="6">
        <v>4.7</v>
      </c>
      <c r="F96" s="6">
        <v>0.4</v>
      </c>
      <c r="G96" s="6">
        <v>2.1</v>
      </c>
      <c r="H96" s="6">
        <v>0</v>
      </c>
      <c r="I96" s="6">
        <v>28.7</v>
      </c>
      <c r="J96" s="6">
        <v>0</v>
      </c>
      <c r="K96" s="6">
        <v>0</v>
      </c>
      <c r="L96" s="6">
        <v>0</v>
      </c>
      <c r="M96" s="6">
        <v>0</v>
      </c>
      <c r="N96" s="6">
        <v>4.1</v>
      </c>
      <c r="O96" s="6">
        <v>2.9</v>
      </c>
      <c r="P96" s="6">
        <v>0</v>
      </c>
      <c r="Q96" s="6">
        <v>0</v>
      </c>
      <c r="R96" s="6">
        <v>93.4</v>
      </c>
      <c r="S96" s="6">
        <v>147.5</v>
      </c>
      <c r="T96" s="6">
        <v>24.7</v>
      </c>
      <c r="U96" s="6">
        <v>17.8</v>
      </c>
      <c r="V96" s="6">
        <v>0</v>
      </c>
      <c r="W96" s="6">
        <v>877.2</v>
      </c>
      <c r="X96" s="6">
        <v>1484.3</v>
      </c>
      <c r="Y96" s="6">
        <v>17</v>
      </c>
      <c r="Z96" s="6">
        <v>272.2</v>
      </c>
      <c r="AA96" s="6">
        <v>2555.9</v>
      </c>
      <c r="AB96" s="6">
        <v>5542</v>
      </c>
      <c r="AC96" s="6">
        <v>23381.6</v>
      </c>
      <c r="AD96" s="6">
        <v>1561.9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24943.5</v>
      </c>
      <c r="AM96" s="61">
        <v>30485.5</v>
      </c>
    </row>
    <row r="97" spans="1:39" ht="12.75">
      <c r="A97" s="62"/>
      <c r="B97" s="59" t="s">
        <v>73</v>
      </c>
      <c r="C97" s="12" t="s">
        <v>57</v>
      </c>
      <c r="D97" s="12">
        <v>29825.8</v>
      </c>
      <c r="E97" s="12">
        <v>22373</v>
      </c>
      <c r="F97" s="12">
        <v>13343.1</v>
      </c>
      <c r="G97" s="12">
        <v>5024.3</v>
      </c>
      <c r="H97" s="12">
        <v>2600</v>
      </c>
      <c r="I97" s="12">
        <v>10399.4</v>
      </c>
      <c r="J97" s="12">
        <v>6125.4</v>
      </c>
      <c r="K97" s="12">
        <v>9244.3</v>
      </c>
      <c r="L97" s="12">
        <v>11035.1</v>
      </c>
      <c r="M97" s="12">
        <v>5574.1</v>
      </c>
      <c r="N97" s="12">
        <v>20807.3</v>
      </c>
      <c r="O97" s="12">
        <v>36724.8</v>
      </c>
      <c r="P97" s="12">
        <v>6552.9</v>
      </c>
      <c r="Q97" s="12">
        <v>1720.8</v>
      </c>
      <c r="R97" s="12">
        <v>27465.3</v>
      </c>
      <c r="S97" s="12">
        <v>29660.6</v>
      </c>
      <c r="T97" s="12">
        <v>12589.3</v>
      </c>
      <c r="U97" s="12">
        <v>10498.9</v>
      </c>
      <c r="V97" s="12">
        <v>35442.2</v>
      </c>
      <c r="W97" s="12">
        <v>12746.2</v>
      </c>
      <c r="X97" s="12">
        <v>9899.6</v>
      </c>
      <c r="Y97" s="12">
        <v>2323.7</v>
      </c>
      <c r="Z97" s="12">
        <v>4947.1</v>
      </c>
      <c r="AA97" s="12">
        <v>6661.3</v>
      </c>
      <c r="AB97" s="12">
        <v>333584.5</v>
      </c>
      <c r="AC97" s="12">
        <v>213377.5</v>
      </c>
      <c r="AD97" s="12">
        <v>64416.2</v>
      </c>
      <c r="AE97" s="12">
        <v>88965.8</v>
      </c>
      <c r="AF97" s="12">
        <v>17724</v>
      </c>
      <c r="AG97" s="12">
        <v>106689.8</v>
      </c>
      <c r="AH97" s="12">
        <v>499795.9</v>
      </c>
      <c r="AI97" s="12">
        <v>300592.9</v>
      </c>
      <c r="AJ97" s="12">
        <v>170606.7</v>
      </c>
      <c r="AK97" s="12">
        <v>28596.3</v>
      </c>
      <c r="AL97" s="12">
        <v>884279.4</v>
      </c>
      <c r="AM97" s="60">
        <v>1217863.9</v>
      </c>
    </row>
    <row r="98" spans="1:39" ht="12.75">
      <c r="A98" s="62"/>
      <c r="B98" s="59"/>
      <c r="C98" s="12" t="s">
        <v>58</v>
      </c>
      <c r="D98" s="12">
        <v>10380.4</v>
      </c>
      <c r="E98" s="12">
        <v>13905.4</v>
      </c>
      <c r="F98" s="12">
        <v>3552.7</v>
      </c>
      <c r="G98" s="12">
        <v>4179.97</v>
      </c>
      <c r="H98" s="12">
        <v>5669.6</v>
      </c>
      <c r="I98" s="12">
        <v>14473.2</v>
      </c>
      <c r="J98" s="12">
        <v>13503.7</v>
      </c>
      <c r="K98" s="12">
        <v>7408.3</v>
      </c>
      <c r="L98" s="12">
        <v>37133.9</v>
      </c>
      <c r="M98" s="12">
        <v>7506.3</v>
      </c>
      <c r="N98" s="12">
        <v>27282.9</v>
      </c>
      <c r="O98" s="12">
        <v>35522.2</v>
      </c>
      <c r="P98" s="12">
        <v>11200.9</v>
      </c>
      <c r="Q98" s="12">
        <v>567.5</v>
      </c>
      <c r="R98" s="12">
        <v>22065.7</v>
      </c>
      <c r="S98" s="12">
        <v>16052.1</v>
      </c>
      <c r="T98" s="12">
        <v>9741.1</v>
      </c>
      <c r="U98" s="12">
        <v>2451.3</v>
      </c>
      <c r="V98" s="12">
        <v>0</v>
      </c>
      <c r="W98" s="12">
        <v>3800.1</v>
      </c>
      <c r="X98" s="12">
        <v>2064.6</v>
      </c>
      <c r="Y98" s="12">
        <v>1063</v>
      </c>
      <c r="Z98" s="12">
        <v>3689.2</v>
      </c>
      <c r="AA98" s="12">
        <v>2880.6</v>
      </c>
      <c r="AB98" s="12">
        <v>256094.67</v>
      </c>
      <c r="AC98" s="12">
        <v>123841.4</v>
      </c>
      <c r="AD98" s="12">
        <v>0</v>
      </c>
      <c r="AE98" s="12">
        <v>34661.6</v>
      </c>
      <c r="AF98" s="12">
        <v>0</v>
      </c>
      <c r="AG98" s="12">
        <v>34661.6</v>
      </c>
      <c r="AH98" s="12">
        <v>0</v>
      </c>
      <c r="AI98" s="12">
        <v>0</v>
      </c>
      <c r="AJ98" s="12">
        <v>0</v>
      </c>
      <c r="AK98" s="12">
        <v>0</v>
      </c>
      <c r="AL98" s="12">
        <v>158503</v>
      </c>
      <c r="AM98" s="60">
        <v>414597.67</v>
      </c>
    </row>
    <row r="99" spans="1:39" ht="12.75">
      <c r="A99" s="62"/>
      <c r="B99" s="59"/>
      <c r="C99" s="12" t="s">
        <v>59</v>
      </c>
      <c r="D99" s="12">
        <v>3869.3</v>
      </c>
      <c r="E99" s="12">
        <v>2311.3</v>
      </c>
      <c r="F99" s="12">
        <v>1111.1</v>
      </c>
      <c r="G99" s="12">
        <v>915.4</v>
      </c>
      <c r="H99" s="12">
        <v>830.6</v>
      </c>
      <c r="I99" s="12">
        <v>5941.7</v>
      </c>
      <c r="J99" s="12">
        <v>8705.9</v>
      </c>
      <c r="K99" s="12">
        <v>1978.5</v>
      </c>
      <c r="L99" s="12">
        <v>14252.2</v>
      </c>
      <c r="M99" s="12">
        <v>2439.7</v>
      </c>
      <c r="N99" s="12">
        <v>15159.5</v>
      </c>
      <c r="O99" s="12">
        <v>20983.1</v>
      </c>
      <c r="P99" s="12">
        <v>2340.9</v>
      </c>
      <c r="Q99" s="12">
        <v>28.3</v>
      </c>
      <c r="R99" s="12">
        <v>365</v>
      </c>
      <c r="S99" s="12">
        <v>792.1</v>
      </c>
      <c r="T99" s="12">
        <v>236.3</v>
      </c>
      <c r="U99" s="12">
        <v>21.9</v>
      </c>
      <c r="V99" s="12">
        <v>0</v>
      </c>
      <c r="W99" s="12">
        <v>129.2</v>
      </c>
      <c r="X99" s="12">
        <v>21.8</v>
      </c>
      <c r="Y99" s="12">
        <v>13.4</v>
      </c>
      <c r="Z99" s="12">
        <v>1049.6</v>
      </c>
      <c r="AA99" s="12">
        <v>202</v>
      </c>
      <c r="AB99" s="12">
        <v>83698.8</v>
      </c>
      <c r="AC99" s="12">
        <v>9330.2</v>
      </c>
      <c r="AD99" s="12">
        <v>0</v>
      </c>
      <c r="AE99" s="12">
        <v>18320.4</v>
      </c>
      <c r="AF99" s="12">
        <v>0</v>
      </c>
      <c r="AG99" s="12">
        <v>18320.4</v>
      </c>
      <c r="AH99" s="12">
        <v>0</v>
      </c>
      <c r="AI99" s="12">
        <v>0</v>
      </c>
      <c r="AJ99" s="12">
        <v>0</v>
      </c>
      <c r="AK99" s="12">
        <v>0</v>
      </c>
      <c r="AL99" s="12">
        <v>27650.6</v>
      </c>
      <c r="AM99" s="60">
        <v>111349.4</v>
      </c>
    </row>
    <row r="100" spans="1:39" s="2" customFormat="1" ht="15.75">
      <c r="A100" s="62"/>
      <c r="B100" s="59" t="s">
        <v>73</v>
      </c>
      <c r="C100" s="6"/>
      <c r="D100" s="6">
        <v>44075.5</v>
      </c>
      <c r="E100" s="6">
        <v>38589.7</v>
      </c>
      <c r="F100" s="6">
        <v>18006.9</v>
      </c>
      <c r="G100" s="6">
        <v>10119.67</v>
      </c>
      <c r="H100" s="6">
        <v>9100.2</v>
      </c>
      <c r="I100" s="6">
        <v>30814.3</v>
      </c>
      <c r="J100" s="6">
        <v>28335</v>
      </c>
      <c r="K100" s="6">
        <v>18631.1</v>
      </c>
      <c r="L100" s="6">
        <v>62421.2</v>
      </c>
      <c r="M100" s="6">
        <v>15520.1</v>
      </c>
      <c r="N100" s="6">
        <v>63249.7</v>
      </c>
      <c r="O100" s="6">
        <v>93230.1</v>
      </c>
      <c r="P100" s="6">
        <v>20094.7</v>
      </c>
      <c r="Q100" s="6">
        <v>2316.6</v>
      </c>
      <c r="R100" s="6">
        <v>49896</v>
      </c>
      <c r="S100" s="6">
        <v>46504.8</v>
      </c>
      <c r="T100" s="6">
        <v>22566.7</v>
      </c>
      <c r="U100" s="6">
        <v>12972.1</v>
      </c>
      <c r="V100" s="6">
        <v>35442.2</v>
      </c>
      <c r="W100" s="6">
        <v>16675.5</v>
      </c>
      <c r="X100" s="6">
        <v>11986</v>
      </c>
      <c r="Y100" s="6">
        <v>3400.1</v>
      </c>
      <c r="Z100" s="6">
        <v>9685.9</v>
      </c>
      <c r="AA100" s="6">
        <v>9743.9</v>
      </c>
      <c r="AB100" s="6">
        <v>673377.97</v>
      </c>
      <c r="AC100" s="6">
        <v>346549.1</v>
      </c>
      <c r="AD100" s="6">
        <v>64416.2</v>
      </c>
      <c r="AE100" s="6">
        <v>141947.8</v>
      </c>
      <c r="AF100" s="6">
        <v>17724</v>
      </c>
      <c r="AG100" s="6">
        <v>159671.8</v>
      </c>
      <c r="AH100" s="6">
        <v>499795.9</v>
      </c>
      <c r="AI100" s="6">
        <v>300592.9</v>
      </c>
      <c r="AJ100" s="6">
        <v>170606.7</v>
      </c>
      <c r="AK100" s="6">
        <v>28596.3</v>
      </c>
      <c r="AL100" s="6">
        <v>1070433</v>
      </c>
      <c r="AM100" s="63">
        <v>1743810.97</v>
      </c>
    </row>
    <row r="101" spans="1:39" ht="12.75">
      <c r="A101" s="62"/>
      <c r="B101" s="5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60"/>
    </row>
    <row r="102" spans="1:39" ht="12.75">
      <c r="A102" s="62"/>
      <c r="B102" s="59" t="s">
        <v>74</v>
      </c>
      <c r="C102" s="12"/>
      <c r="D102" s="12">
        <v>1497.6554616641397</v>
      </c>
      <c r="E102" s="12">
        <v>5402.518551914175</v>
      </c>
      <c r="F102" s="12">
        <v>2372.671061808156</v>
      </c>
      <c r="G102" s="12">
        <v>3059.6542428289254</v>
      </c>
      <c r="H102" s="12">
        <v>2120.920015606599</v>
      </c>
      <c r="I102" s="12">
        <v>7520.582830732951</v>
      </c>
      <c r="J102" s="12">
        <v>5950.552289852411</v>
      </c>
      <c r="K102" s="12">
        <v>5827.577124426766</v>
      </c>
      <c r="L102" s="12">
        <v>6253.081905812453</v>
      </c>
      <c r="M102" s="12">
        <v>5044.47202847057</v>
      </c>
      <c r="N102" s="12">
        <v>12143.128272472857</v>
      </c>
      <c r="O102" s="12">
        <v>18883.024058834584</v>
      </c>
      <c r="P102" s="12">
        <v>3834.094362976786</v>
      </c>
      <c r="Q102" s="12">
        <v>1417.070139182748</v>
      </c>
      <c r="R102" s="12">
        <v>14309.829318459251</v>
      </c>
      <c r="S102" s="12">
        <v>18551.22314079935</v>
      </c>
      <c r="T102" s="12">
        <v>9092.665932429738</v>
      </c>
      <c r="U102" s="12">
        <v>9109.71111138206</v>
      </c>
      <c r="V102" s="12">
        <v>0</v>
      </c>
      <c r="W102" s="12">
        <v>7494.702716093302</v>
      </c>
      <c r="X102" s="12">
        <v>17239.7804114232</v>
      </c>
      <c r="Y102" s="12">
        <v>11923.236539810454</v>
      </c>
      <c r="Z102" s="12">
        <v>21649.2230894468</v>
      </c>
      <c r="AA102" s="12">
        <v>8287.258916488916</v>
      </c>
      <c r="AB102" s="12">
        <v>198984.63352291723</v>
      </c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60"/>
    </row>
    <row r="103" spans="1:39" ht="12.75">
      <c r="A103" s="62"/>
      <c r="B103" s="59" t="s">
        <v>75</v>
      </c>
      <c r="C103" s="12"/>
      <c r="D103" s="12">
        <v>250.14469425840687</v>
      </c>
      <c r="E103" s="12">
        <v>1629.6440463263527</v>
      </c>
      <c r="F103" s="12">
        <v>669.2240678714923</v>
      </c>
      <c r="G103" s="12">
        <v>779.2591759773131</v>
      </c>
      <c r="H103" s="12">
        <v>766.2298768828688</v>
      </c>
      <c r="I103" s="12">
        <v>1908.7923173360914</v>
      </c>
      <c r="J103" s="12">
        <v>1208.601353671639</v>
      </c>
      <c r="K103" s="12">
        <v>1721.4738324097996</v>
      </c>
      <c r="L103" s="12">
        <v>2145.2830200777175</v>
      </c>
      <c r="M103" s="12">
        <v>1509.69325875253</v>
      </c>
      <c r="N103" s="12">
        <v>3047.428119706057</v>
      </c>
      <c r="O103" s="12">
        <v>5694.9638473422165</v>
      </c>
      <c r="P103" s="12">
        <v>1156.6626408431005</v>
      </c>
      <c r="Q103" s="12">
        <v>409.26277840494254</v>
      </c>
      <c r="R103" s="12">
        <v>5501.219954643323</v>
      </c>
      <c r="S103" s="12">
        <v>7941.714765162285</v>
      </c>
      <c r="T103" s="12">
        <v>1781.5335467287105</v>
      </c>
      <c r="U103" s="12">
        <v>2659.6726089844096</v>
      </c>
      <c r="V103" s="12">
        <v>0</v>
      </c>
      <c r="W103" s="12">
        <v>2099.412747923304</v>
      </c>
      <c r="X103" s="12">
        <v>3296.60952059913</v>
      </c>
      <c r="Y103" s="12">
        <v>3316.6705537330326</v>
      </c>
      <c r="Z103" s="12">
        <v>4764.53828823724</v>
      </c>
      <c r="AA103" s="12">
        <v>2213.73146121086</v>
      </c>
      <c r="AB103" s="12">
        <v>56471.76647708283</v>
      </c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60"/>
    </row>
    <row r="104" spans="1:39" ht="12.75">
      <c r="A104" s="62"/>
      <c r="B104" s="59" t="s">
        <v>76</v>
      </c>
      <c r="C104" s="12"/>
      <c r="D104" s="12">
        <v>1747.8001559225465</v>
      </c>
      <c r="E104" s="12">
        <v>7032.162598240528</v>
      </c>
      <c r="F104" s="12">
        <v>3041.8951296796486</v>
      </c>
      <c r="G104" s="12">
        <v>3838.9134188062385</v>
      </c>
      <c r="H104" s="12">
        <v>2887.1498924894677</v>
      </c>
      <c r="I104" s="12">
        <v>9429.375148069043</v>
      </c>
      <c r="J104" s="12">
        <v>7159.1536435240505</v>
      </c>
      <c r="K104" s="12">
        <v>7549.050956836566</v>
      </c>
      <c r="L104" s="12">
        <v>8398.364925890171</v>
      </c>
      <c r="M104" s="12">
        <v>6554.1652872231</v>
      </c>
      <c r="N104" s="12">
        <v>15190.556392178913</v>
      </c>
      <c r="O104" s="12">
        <v>24577.9879061768</v>
      </c>
      <c r="P104" s="12">
        <v>4990.757003819886</v>
      </c>
      <c r="Q104" s="12">
        <v>1826.3329175876904</v>
      </c>
      <c r="R104" s="12">
        <v>19811.049273102573</v>
      </c>
      <c r="S104" s="12">
        <v>26492.937905961637</v>
      </c>
      <c r="T104" s="12">
        <v>10874.19947915845</v>
      </c>
      <c r="U104" s="12">
        <v>11769.38372036647</v>
      </c>
      <c r="V104" s="12">
        <v>0</v>
      </c>
      <c r="W104" s="12">
        <v>9594.115464016606</v>
      </c>
      <c r="X104" s="12">
        <v>20536.389932022328</v>
      </c>
      <c r="Y104" s="12">
        <v>15239.907093543487</v>
      </c>
      <c r="Z104" s="12">
        <v>26413.76137768404</v>
      </c>
      <c r="AA104" s="12">
        <v>10500.990377699776</v>
      </c>
      <c r="AB104" s="12">
        <v>255456.4</v>
      </c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60"/>
    </row>
    <row r="105" spans="1:39" ht="12.75">
      <c r="A105" s="62"/>
      <c r="B105" s="59" t="s">
        <v>77</v>
      </c>
      <c r="C105" s="12"/>
      <c r="D105" s="12">
        <v>31229.8998440775</v>
      </c>
      <c r="E105" s="12">
        <v>6730.237401759472</v>
      </c>
      <c r="F105" s="12">
        <v>4131.404870320351</v>
      </c>
      <c r="G105" s="12">
        <v>2558.3865811937612</v>
      </c>
      <c r="H105" s="12">
        <v>1981.3501075105323</v>
      </c>
      <c r="I105" s="12">
        <v>4416.924851930959</v>
      </c>
      <c r="J105" s="12">
        <v>9699.94635647595</v>
      </c>
      <c r="K105" s="12">
        <v>11464.449043163435</v>
      </c>
      <c r="L105" s="12">
        <v>4890.735074109829</v>
      </c>
      <c r="M105" s="12">
        <v>4844.334712776898</v>
      </c>
      <c r="N105" s="12">
        <v>17267.143607821086</v>
      </c>
      <c r="O105" s="12">
        <v>5873.512093823201</v>
      </c>
      <c r="P105" s="12">
        <v>4891.4429961801125</v>
      </c>
      <c r="Q105" s="12">
        <v>10082.96708241231</v>
      </c>
      <c r="R105" s="12">
        <v>19766.550726897425</v>
      </c>
      <c r="S105" s="12">
        <v>34385.662094038365</v>
      </c>
      <c r="T105" s="12">
        <v>17173.000520841553</v>
      </c>
      <c r="U105" s="12">
        <v>21700.91627963353</v>
      </c>
      <c r="V105" s="12">
        <v>-35442.2</v>
      </c>
      <c r="W105" s="12">
        <v>54143.3845359834</v>
      </c>
      <c r="X105" s="12">
        <v>4835.510067977641</v>
      </c>
      <c r="Y105" s="12">
        <v>4091.192906456513</v>
      </c>
      <c r="Z105" s="12">
        <v>1477.838622316</v>
      </c>
      <c r="AA105" s="12">
        <v>6403.809622300223</v>
      </c>
      <c r="AB105" s="12">
        <v>248598.4</v>
      </c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60"/>
    </row>
    <row r="106" spans="1:39" ht="12.75">
      <c r="A106" s="62"/>
      <c r="B106" s="59" t="s">
        <v>78</v>
      </c>
      <c r="C106" s="12"/>
      <c r="D106" s="12">
        <v>32977.7</v>
      </c>
      <c r="E106" s="12">
        <v>13762.4</v>
      </c>
      <c r="F106" s="12">
        <v>7173.3</v>
      </c>
      <c r="G106" s="12">
        <v>6397.3</v>
      </c>
      <c r="H106" s="12">
        <v>4868.5</v>
      </c>
      <c r="I106" s="12">
        <v>13846.3</v>
      </c>
      <c r="J106" s="12">
        <v>16859.1</v>
      </c>
      <c r="K106" s="12">
        <v>19013.5</v>
      </c>
      <c r="L106" s="12">
        <v>13289.1</v>
      </c>
      <c r="M106" s="12">
        <v>11398.5</v>
      </c>
      <c r="N106" s="12">
        <v>32457.7</v>
      </c>
      <c r="O106" s="12">
        <v>30451.5</v>
      </c>
      <c r="P106" s="12">
        <v>9882.2</v>
      </c>
      <c r="Q106" s="12">
        <v>11909.3</v>
      </c>
      <c r="R106" s="12">
        <v>39577.6</v>
      </c>
      <c r="S106" s="12">
        <v>60878.6</v>
      </c>
      <c r="T106" s="12">
        <v>28047.2</v>
      </c>
      <c r="U106" s="12">
        <v>33470.3</v>
      </c>
      <c r="V106" s="12">
        <v>-35442.2</v>
      </c>
      <c r="W106" s="12">
        <v>63737.5</v>
      </c>
      <c r="X106" s="12">
        <v>25371.9</v>
      </c>
      <c r="Y106" s="12">
        <v>19331.1</v>
      </c>
      <c r="Z106" s="12">
        <v>27891.6</v>
      </c>
      <c r="AA106" s="12">
        <v>16904.8</v>
      </c>
      <c r="AB106" s="12">
        <v>504054.8</v>
      </c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60"/>
    </row>
    <row r="107" spans="1:39" ht="12.75">
      <c r="A107" s="62"/>
      <c r="B107" s="59" t="s">
        <v>79</v>
      </c>
      <c r="C107" s="12"/>
      <c r="D107" s="12">
        <v>24.5</v>
      </c>
      <c r="E107" s="12">
        <v>1013.9</v>
      </c>
      <c r="F107" s="12">
        <v>632.1</v>
      </c>
      <c r="G107" s="12">
        <v>438.3</v>
      </c>
      <c r="H107" s="12">
        <v>21</v>
      </c>
      <c r="I107" s="12">
        <v>961</v>
      </c>
      <c r="J107" s="12">
        <v>248.6</v>
      </c>
      <c r="K107" s="12">
        <v>529.1</v>
      </c>
      <c r="L107" s="12">
        <v>400.3</v>
      </c>
      <c r="M107" s="12">
        <v>227.3</v>
      </c>
      <c r="N107" s="12">
        <v>450.5</v>
      </c>
      <c r="O107" s="12">
        <v>450.9</v>
      </c>
      <c r="P107" s="12">
        <v>335.3</v>
      </c>
      <c r="Q107" s="12">
        <v>343.6</v>
      </c>
      <c r="R107" s="12">
        <v>795.4</v>
      </c>
      <c r="S107" s="12">
        <v>6855.1</v>
      </c>
      <c r="T107" s="12">
        <v>730.8</v>
      </c>
      <c r="U107" s="12">
        <v>334.5</v>
      </c>
      <c r="V107" s="12">
        <v>0</v>
      </c>
      <c r="W107" s="12">
        <v>188.3</v>
      </c>
      <c r="X107" s="12">
        <v>0</v>
      </c>
      <c r="Y107" s="12">
        <v>204.9</v>
      </c>
      <c r="Z107" s="12">
        <v>18.6</v>
      </c>
      <c r="AA107" s="12">
        <v>1234.1</v>
      </c>
      <c r="AB107" s="12">
        <v>16438.1</v>
      </c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60"/>
    </row>
    <row r="108" spans="1:39" ht="12.75">
      <c r="A108" s="62"/>
      <c r="B108" s="59" t="s">
        <v>80</v>
      </c>
      <c r="C108" s="12"/>
      <c r="D108" s="12">
        <v>1282</v>
      </c>
      <c r="E108" s="12">
        <v>327.5</v>
      </c>
      <c r="F108" s="12">
        <v>20.8</v>
      </c>
      <c r="G108" s="12">
        <v>14.5</v>
      </c>
      <c r="H108" s="12">
        <v>128.1</v>
      </c>
      <c r="I108" s="12">
        <v>181.8</v>
      </c>
      <c r="J108" s="12">
        <v>2621.1</v>
      </c>
      <c r="K108" s="12">
        <v>68.2</v>
      </c>
      <c r="L108" s="12">
        <v>122.2</v>
      </c>
      <c r="M108" s="12">
        <v>42.6</v>
      </c>
      <c r="N108" s="12">
        <v>140.4</v>
      </c>
      <c r="O108" s="12">
        <v>140.3</v>
      </c>
      <c r="P108" s="12">
        <v>92.9</v>
      </c>
      <c r="Q108" s="12">
        <v>291.5</v>
      </c>
      <c r="R108" s="12">
        <v>26.5</v>
      </c>
      <c r="S108" s="12">
        <v>991.4</v>
      </c>
      <c r="T108" s="12">
        <v>1503.1</v>
      </c>
      <c r="U108" s="12">
        <v>0</v>
      </c>
      <c r="V108" s="12"/>
      <c r="W108" s="12">
        <v>315.6</v>
      </c>
      <c r="X108" s="12">
        <v>0</v>
      </c>
      <c r="Y108" s="12">
        <v>3863.8</v>
      </c>
      <c r="Z108" s="12">
        <v>21.6</v>
      </c>
      <c r="AA108" s="12">
        <v>2374.7</v>
      </c>
      <c r="AB108" s="12">
        <v>14570.6</v>
      </c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60"/>
    </row>
    <row r="109" spans="1:39" ht="12.75">
      <c r="A109" s="62"/>
      <c r="B109" s="59" t="s">
        <v>81</v>
      </c>
      <c r="C109" s="12"/>
      <c r="D109" s="12">
        <v>-1257.5</v>
      </c>
      <c r="E109" s="12">
        <v>686.4</v>
      </c>
      <c r="F109" s="12">
        <v>611.3</v>
      </c>
      <c r="G109" s="12">
        <v>423.8</v>
      </c>
      <c r="H109" s="12">
        <v>-107.1</v>
      </c>
      <c r="I109" s="12">
        <v>779.2</v>
      </c>
      <c r="J109" s="12">
        <v>-2372.5</v>
      </c>
      <c r="K109" s="12">
        <v>460.9</v>
      </c>
      <c r="L109" s="12">
        <v>278.1</v>
      </c>
      <c r="M109" s="12">
        <v>184.7</v>
      </c>
      <c r="N109" s="12">
        <v>310.1</v>
      </c>
      <c r="O109" s="12">
        <v>310.6</v>
      </c>
      <c r="P109" s="12">
        <v>242.4</v>
      </c>
      <c r="Q109" s="12">
        <v>52.1</v>
      </c>
      <c r="R109" s="12">
        <v>768.9</v>
      </c>
      <c r="S109" s="12">
        <v>5863.7</v>
      </c>
      <c r="T109" s="12">
        <v>-772.3</v>
      </c>
      <c r="U109" s="12">
        <v>334.5</v>
      </c>
      <c r="V109" s="12">
        <v>0</v>
      </c>
      <c r="W109" s="12">
        <v>-127.3</v>
      </c>
      <c r="X109" s="12">
        <v>0</v>
      </c>
      <c r="Y109" s="12">
        <v>-3658.9</v>
      </c>
      <c r="Z109" s="12">
        <v>-3</v>
      </c>
      <c r="AA109" s="12">
        <v>-1140.6</v>
      </c>
      <c r="AB109" s="12">
        <v>1867.5</v>
      </c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60"/>
    </row>
    <row r="110" spans="1:39" ht="12.75">
      <c r="A110" s="62"/>
      <c r="B110" s="59" t="s">
        <v>82</v>
      </c>
      <c r="C110" s="12"/>
      <c r="D110" s="12">
        <v>31720.2</v>
      </c>
      <c r="E110" s="12">
        <v>14448.8</v>
      </c>
      <c r="F110" s="12">
        <v>7784.6</v>
      </c>
      <c r="G110" s="12">
        <v>6821.1</v>
      </c>
      <c r="H110" s="12">
        <v>4761.4</v>
      </c>
      <c r="I110" s="12">
        <v>14625.5</v>
      </c>
      <c r="J110" s="12">
        <v>14486.6</v>
      </c>
      <c r="K110" s="12">
        <v>19474.4</v>
      </c>
      <c r="L110" s="12">
        <v>13567.2</v>
      </c>
      <c r="M110" s="12">
        <v>11583.2</v>
      </c>
      <c r="N110" s="12">
        <v>32767.8</v>
      </c>
      <c r="O110" s="12">
        <v>30762.1</v>
      </c>
      <c r="P110" s="12">
        <v>10124.6</v>
      </c>
      <c r="Q110" s="12">
        <v>11961.4</v>
      </c>
      <c r="R110" s="12">
        <v>40346.5</v>
      </c>
      <c r="S110" s="12">
        <v>66742.3</v>
      </c>
      <c r="T110" s="12">
        <v>27274.9</v>
      </c>
      <c r="U110" s="12">
        <v>33804.8</v>
      </c>
      <c r="V110" s="12">
        <v>-35442.2</v>
      </c>
      <c r="W110" s="12">
        <v>63610.2</v>
      </c>
      <c r="X110" s="12">
        <v>25371.9</v>
      </c>
      <c r="Y110" s="12">
        <v>15672.2</v>
      </c>
      <c r="Z110" s="12">
        <v>27888.6</v>
      </c>
      <c r="AA110" s="12">
        <v>15764.2</v>
      </c>
      <c r="AB110" s="12">
        <v>505922.3</v>
      </c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60"/>
    </row>
    <row r="111" spans="1:39" ht="12.75">
      <c r="A111" s="62"/>
      <c r="B111" s="59" t="s">
        <v>83</v>
      </c>
      <c r="C111" s="12"/>
      <c r="D111" s="12">
        <v>75795.70000000006</v>
      </c>
      <c r="E111" s="12">
        <v>53038.5</v>
      </c>
      <c r="F111" s="12">
        <v>25791.5</v>
      </c>
      <c r="G111" s="12">
        <v>16940.77</v>
      </c>
      <c r="H111" s="12">
        <v>13861.6</v>
      </c>
      <c r="I111" s="12">
        <v>45439.8</v>
      </c>
      <c r="J111" s="12">
        <v>42821.6</v>
      </c>
      <c r="K111" s="12">
        <v>38105.5</v>
      </c>
      <c r="L111" s="12">
        <v>75988.4</v>
      </c>
      <c r="M111" s="12">
        <v>27103.3</v>
      </c>
      <c r="N111" s="12">
        <v>96017.5</v>
      </c>
      <c r="O111" s="12">
        <v>123992.2</v>
      </c>
      <c r="P111" s="12">
        <v>30219.3</v>
      </c>
      <c r="Q111" s="12">
        <v>14278</v>
      </c>
      <c r="R111" s="12">
        <v>90242.5</v>
      </c>
      <c r="S111" s="12">
        <v>113247.1</v>
      </c>
      <c r="T111" s="12">
        <v>49841.6</v>
      </c>
      <c r="U111" s="12">
        <v>46776.9</v>
      </c>
      <c r="V111" s="12">
        <v>0</v>
      </c>
      <c r="W111" s="12">
        <v>80285.7</v>
      </c>
      <c r="X111" s="12">
        <v>37357.9</v>
      </c>
      <c r="Y111" s="12">
        <v>19072.3</v>
      </c>
      <c r="Z111" s="12">
        <v>37574.5</v>
      </c>
      <c r="AA111" s="12">
        <v>25508.1</v>
      </c>
      <c r="AB111" s="12">
        <v>1179300.27</v>
      </c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60"/>
    </row>
    <row r="112" spans="1:39" ht="12.75">
      <c r="A112" s="62"/>
      <c r="B112" s="59" t="s">
        <v>84</v>
      </c>
      <c r="C112" s="12"/>
      <c r="D112" s="12">
        <v>-130</v>
      </c>
      <c r="E112" s="12">
        <v>-603</v>
      </c>
      <c r="F112" s="12">
        <v>-401.2</v>
      </c>
      <c r="G112" s="12">
        <v>-54.7</v>
      </c>
      <c r="H112" s="12">
        <v>-16.7</v>
      </c>
      <c r="I112" s="12">
        <v>199.7</v>
      </c>
      <c r="J112" s="12">
        <v>-907.9</v>
      </c>
      <c r="K112" s="12">
        <v>-518.4</v>
      </c>
      <c r="L112" s="12">
        <v>-40.8</v>
      </c>
      <c r="M112" s="12">
        <v>-173.9</v>
      </c>
      <c r="N112" s="12">
        <v>-218.9</v>
      </c>
      <c r="O112" s="12">
        <v>-101.7</v>
      </c>
      <c r="P112" s="12">
        <v>-148.7</v>
      </c>
      <c r="Q112" s="12">
        <v>342.3</v>
      </c>
      <c r="R112" s="12">
        <v>-40.5</v>
      </c>
      <c r="S112" s="12">
        <v>2153.3</v>
      </c>
      <c r="T112" s="12">
        <v>30.3</v>
      </c>
      <c r="U112" s="12">
        <v>0</v>
      </c>
      <c r="V112" s="12">
        <v>0</v>
      </c>
      <c r="W112" s="12">
        <v>851.6</v>
      </c>
      <c r="X112" s="12">
        <v>-4555.4</v>
      </c>
      <c r="Y112" s="12">
        <v>1456</v>
      </c>
      <c r="Z112" s="12">
        <v>1544</v>
      </c>
      <c r="AA112" s="12">
        <v>1334.6</v>
      </c>
      <c r="AB112" s="12">
        <v>0</v>
      </c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60"/>
    </row>
    <row r="113" spans="1:39" ht="12.75">
      <c r="A113" s="62"/>
      <c r="B113" s="59" t="s">
        <v>85</v>
      </c>
      <c r="C113" s="12"/>
      <c r="D113" s="12">
        <v>75665.70000000006</v>
      </c>
      <c r="E113" s="12">
        <v>52435.5</v>
      </c>
      <c r="F113" s="12">
        <v>25390.3</v>
      </c>
      <c r="G113" s="12">
        <v>16886.07</v>
      </c>
      <c r="H113" s="12">
        <v>13844.9</v>
      </c>
      <c r="I113" s="12">
        <v>45639.5</v>
      </c>
      <c r="J113" s="12">
        <v>41913.7</v>
      </c>
      <c r="K113" s="12">
        <v>37587.1</v>
      </c>
      <c r="L113" s="12">
        <v>75947.6</v>
      </c>
      <c r="M113" s="12">
        <v>26929.4</v>
      </c>
      <c r="N113" s="12">
        <v>95798.6</v>
      </c>
      <c r="O113" s="12">
        <v>123890.5</v>
      </c>
      <c r="P113" s="12">
        <v>30070.6</v>
      </c>
      <c r="Q113" s="12">
        <v>14620.3</v>
      </c>
      <c r="R113" s="12">
        <v>90202</v>
      </c>
      <c r="S113" s="12">
        <v>115400.4</v>
      </c>
      <c r="T113" s="12">
        <v>49871.9</v>
      </c>
      <c r="U113" s="12">
        <v>46776.9</v>
      </c>
      <c r="V113" s="12">
        <v>0</v>
      </c>
      <c r="W113" s="12">
        <v>81137.3</v>
      </c>
      <c r="X113" s="12">
        <v>32802.5</v>
      </c>
      <c r="Y113" s="12">
        <v>20528.3</v>
      </c>
      <c r="Z113" s="12">
        <v>39118.5</v>
      </c>
      <c r="AA113" s="12">
        <v>26842.7</v>
      </c>
      <c r="AB113" s="12">
        <v>1179300.27</v>
      </c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60"/>
    </row>
    <row r="114" spans="1:39" ht="12.75">
      <c r="A114" s="62"/>
      <c r="B114" s="59" t="s">
        <v>86</v>
      </c>
      <c r="C114" s="12"/>
      <c r="D114" s="12">
        <v>25934.2</v>
      </c>
      <c r="E114" s="12">
        <v>35600.7</v>
      </c>
      <c r="F114" s="12">
        <v>1376.8</v>
      </c>
      <c r="G114" s="12">
        <v>11885.5</v>
      </c>
      <c r="H114" s="12">
        <v>17908.9</v>
      </c>
      <c r="I114" s="12">
        <v>13746</v>
      </c>
      <c r="J114" s="12">
        <v>36636.7</v>
      </c>
      <c r="K114" s="12">
        <v>8264.5</v>
      </c>
      <c r="L114" s="12">
        <v>45340.4</v>
      </c>
      <c r="M114" s="12">
        <v>11646</v>
      </c>
      <c r="N114" s="12">
        <v>56298</v>
      </c>
      <c r="O114" s="12">
        <v>44797.1</v>
      </c>
      <c r="P114" s="12">
        <v>14025.8</v>
      </c>
      <c r="Q114" s="12">
        <v>31489.5</v>
      </c>
      <c r="R114" s="12">
        <v>0</v>
      </c>
      <c r="S114" s="12">
        <v>30911.2</v>
      </c>
      <c r="T114" s="12">
        <v>11638.1</v>
      </c>
      <c r="U114" s="12">
        <v>603.4</v>
      </c>
      <c r="V114" s="12">
        <v>0</v>
      </c>
      <c r="W114" s="12">
        <v>7440.3</v>
      </c>
      <c r="X114" s="12">
        <v>0</v>
      </c>
      <c r="Y114" s="12">
        <v>0</v>
      </c>
      <c r="Z114" s="12">
        <v>0</v>
      </c>
      <c r="AA114" s="12">
        <v>1304.7</v>
      </c>
      <c r="AB114" s="12">
        <v>406847.8</v>
      </c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60"/>
    </row>
    <row r="115" spans="1:39" ht="12.75">
      <c r="A115" s="62"/>
      <c r="B115" s="59" t="s">
        <v>87</v>
      </c>
      <c r="C115" s="12"/>
      <c r="D115" s="12">
        <v>2846.3</v>
      </c>
      <c r="E115" s="12">
        <v>2410.9</v>
      </c>
      <c r="F115" s="12">
        <v>1255.2</v>
      </c>
      <c r="G115" s="12">
        <v>560.2</v>
      </c>
      <c r="H115" s="12">
        <v>2072.4</v>
      </c>
      <c r="I115" s="12">
        <v>3880</v>
      </c>
      <c r="J115" s="12">
        <v>11012.4</v>
      </c>
      <c r="K115" s="12">
        <v>706.7</v>
      </c>
      <c r="L115" s="12">
        <v>15483.5</v>
      </c>
      <c r="M115" s="12">
        <v>1927.7</v>
      </c>
      <c r="N115" s="12">
        <v>25471.4</v>
      </c>
      <c r="O115" s="12">
        <v>17877.5</v>
      </c>
      <c r="P115" s="12">
        <v>1675.8</v>
      </c>
      <c r="Q115" s="12">
        <v>1092.5</v>
      </c>
      <c r="R115" s="12">
        <v>0</v>
      </c>
      <c r="S115" s="12">
        <v>13.4</v>
      </c>
      <c r="T115" s="12">
        <v>334.1</v>
      </c>
      <c r="U115" s="12">
        <v>20.6</v>
      </c>
      <c r="V115" s="12">
        <v>0</v>
      </c>
      <c r="W115" s="12">
        <v>9</v>
      </c>
      <c r="X115" s="12">
        <v>0</v>
      </c>
      <c r="Y115" s="12">
        <v>0</v>
      </c>
      <c r="Z115" s="12">
        <v>0</v>
      </c>
      <c r="AA115" s="12">
        <v>0</v>
      </c>
      <c r="AB115" s="12">
        <v>88649.6</v>
      </c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60"/>
    </row>
    <row r="116" spans="1:39" ht="12.75">
      <c r="A116" s="62"/>
      <c r="B116" s="59" t="s">
        <v>88</v>
      </c>
      <c r="C116" s="12"/>
      <c r="D116" s="12">
        <v>760.6</v>
      </c>
      <c r="E116" s="12">
        <v>1226.5</v>
      </c>
      <c r="F116" s="12">
        <v>0</v>
      </c>
      <c r="G116" s="12">
        <v>13.3</v>
      </c>
      <c r="H116" s="12">
        <v>540.4</v>
      </c>
      <c r="I116" s="12">
        <v>789.6</v>
      </c>
      <c r="J116" s="12">
        <v>3366.8</v>
      </c>
      <c r="K116" s="12">
        <v>197.5</v>
      </c>
      <c r="L116" s="12">
        <v>5535</v>
      </c>
      <c r="M116" s="12">
        <v>184.9</v>
      </c>
      <c r="N116" s="12">
        <v>3681.7</v>
      </c>
      <c r="O116" s="12">
        <v>1084.6</v>
      </c>
      <c r="P116" s="12">
        <v>229.9</v>
      </c>
      <c r="Q116" s="12">
        <v>1674.9</v>
      </c>
      <c r="R116" s="12">
        <v>0</v>
      </c>
      <c r="S116" s="12">
        <v>63.8</v>
      </c>
      <c r="T116" s="12">
        <v>1.3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19350.8</v>
      </c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60"/>
    </row>
    <row r="117" spans="1:39" ht="12.75">
      <c r="A117" s="62"/>
      <c r="B117" s="59" t="s">
        <v>89</v>
      </c>
      <c r="C117" s="12"/>
      <c r="D117" s="12">
        <v>29541.1</v>
      </c>
      <c r="E117" s="12">
        <v>39238.1</v>
      </c>
      <c r="F117" s="12">
        <v>2632</v>
      </c>
      <c r="G117" s="12">
        <v>12459</v>
      </c>
      <c r="H117" s="12">
        <v>20521.7</v>
      </c>
      <c r="I117" s="12">
        <v>18415.6</v>
      </c>
      <c r="J117" s="12">
        <v>51015.9</v>
      </c>
      <c r="K117" s="12">
        <v>9168.7</v>
      </c>
      <c r="L117" s="12">
        <v>66358.9</v>
      </c>
      <c r="M117" s="12">
        <v>13758.6</v>
      </c>
      <c r="N117" s="12">
        <v>85451.1</v>
      </c>
      <c r="O117" s="12">
        <v>63759.2</v>
      </c>
      <c r="P117" s="12">
        <v>15931.5</v>
      </c>
      <c r="Q117" s="12">
        <v>34256.9</v>
      </c>
      <c r="R117" s="12">
        <v>0</v>
      </c>
      <c r="S117" s="12">
        <v>30988.4</v>
      </c>
      <c r="T117" s="12">
        <v>11973.5</v>
      </c>
      <c r="U117" s="12">
        <v>624</v>
      </c>
      <c r="V117" s="12">
        <v>0</v>
      </c>
      <c r="W117" s="12">
        <v>7449.3</v>
      </c>
      <c r="X117" s="12">
        <v>0</v>
      </c>
      <c r="Y117" s="12">
        <v>0</v>
      </c>
      <c r="Z117" s="12">
        <v>0</v>
      </c>
      <c r="AA117" s="12">
        <v>1304.7</v>
      </c>
      <c r="AB117" s="12">
        <v>514848.2</v>
      </c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60"/>
    </row>
    <row r="118" spans="1:39" ht="12.75">
      <c r="A118" s="62"/>
      <c r="B118" s="59" t="s">
        <v>90</v>
      </c>
      <c r="C118" s="12"/>
      <c r="D118" s="12">
        <v>1444.2</v>
      </c>
      <c r="E118" s="12">
        <v>3854.7</v>
      </c>
      <c r="F118" s="12">
        <v>330.7</v>
      </c>
      <c r="G118" s="12">
        <v>989.2</v>
      </c>
      <c r="H118" s="12">
        <v>3549</v>
      </c>
      <c r="I118" s="12">
        <v>1032.6</v>
      </c>
      <c r="J118" s="12">
        <v>3203.3</v>
      </c>
      <c r="K118" s="12">
        <v>478.9</v>
      </c>
      <c r="L118" s="12">
        <v>1065.2</v>
      </c>
      <c r="M118" s="12">
        <v>935</v>
      </c>
      <c r="N118" s="12">
        <v>3188</v>
      </c>
      <c r="O118" s="12">
        <v>2429.9</v>
      </c>
      <c r="P118" s="12">
        <v>1623</v>
      </c>
      <c r="Q118" s="12">
        <v>3653.8</v>
      </c>
      <c r="R118" s="12">
        <v>6956.7</v>
      </c>
      <c r="S118" s="12">
        <v>8414.4</v>
      </c>
      <c r="T118" s="12">
        <v>2704.9</v>
      </c>
      <c r="U118" s="12">
        <v>0</v>
      </c>
      <c r="V118" s="12">
        <v>0</v>
      </c>
      <c r="W118" s="12">
        <v>1470.9</v>
      </c>
      <c r="X118" s="12">
        <v>0</v>
      </c>
      <c r="Y118" s="12">
        <v>0</v>
      </c>
      <c r="Z118" s="12">
        <v>0</v>
      </c>
      <c r="AA118" s="12">
        <v>2338.1</v>
      </c>
      <c r="AB118" s="12">
        <v>49662.5</v>
      </c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60"/>
    </row>
    <row r="119" spans="1:39" ht="12.75">
      <c r="A119" s="62"/>
      <c r="B119" s="5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60"/>
    </row>
    <row r="120" spans="1:39" s="2" customFormat="1" ht="16.5" thickBot="1">
      <c r="A120" s="64"/>
      <c r="B120" s="65" t="s">
        <v>91</v>
      </c>
      <c r="C120" s="19"/>
      <c r="D120" s="66">
        <v>106651</v>
      </c>
      <c r="E120" s="66">
        <v>95528.3</v>
      </c>
      <c r="F120" s="66">
        <v>28353</v>
      </c>
      <c r="G120" s="66">
        <v>30334.27</v>
      </c>
      <c r="H120" s="66">
        <v>37915.6</v>
      </c>
      <c r="I120" s="66">
        <v>65087.7</v>
      </c>
      <c r="J120" s="66">
        <v>96132.9</v>
      </c>
      <c r="K120" s="66">
        <v>47234.7</v>
      </c>
      <c r="L120" s="66">
        <v>143371.7</v>
      </c>
      <c r="M120" s="66">
        <v>41623</v>
      </c>
      <c r="N120" s="66">
        <v>184437.7</v>
      </c>
      <c r="O120" s="66">
        <v>190079.6</v>
      </c>
      <c r="P120" s="66">
        <v>47625.1</v>
      </c>
      <c r="Q120" s="66">
        <v>52531</v>
      </c>
      <c r="R120" s="66">
        <v>97158.7</v>
      </c>
      <c r="S120" s="66">
        <v>154803.2</v>
      </c>
      <c r="T120" s="66">
        <v>64550.3</v>
      </c>
      <c r="U120" s="66">
        <v>47400.9</v>
      </c>
      <c r="V120" s="66">
        <v>0</v>
      </c>
      <c r="W120" s="66">
        <v>90057.5</v>
      </c>
      <c r="X120" s="66">
        <v>32802.5</v>
      </c>
      <c r="Y120" s="66">
        <v>20528.3</v>
      </c>
      <c r="Z120" s="66">
        <v>39118.5</v>
      </c>
      <c r="AA120" s="66">
        <v>30485.5</v>
      </c>
      <c r="AB120" s="66">
        <v>1743810.97</v>
      </c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20"/>
    </row>
  </sheetData>
  <sheetProtection/>
  <printOptions horizontalCentered="1" verticalCentered="1"/>
  <pageMargins left="0.75" right="0.75" top="1" bottom="1" header="0.5118110236220472" footer="0.5118110236220472"/>
  <pageSetup blackAndWhite="1" horizontalDpi="600" verticalDpi="600" orientation="landscape" paperSize="8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showGridLines="0" zoomScale="75" zoomScaleNormal="75" zoomScalePageLayoutView="0" workbookViewId="0" topLeftCell="A1">
      <pane xSplit="2" ySplit="4" topLeftCell="C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21875" defaultRowHeight="12.75"/>
  <cols>
    <col min="1" max="1" width="3.00390625" style="28" customWidth="1"/>
    <col min="2" max="2" width="48.7109375" style="27" customWidth="1"/>
    <col min="3" max="22" width="8.00390625" style="0" customWidth="1"/>
    <col min="23" max="23" width="8.28125" style="0" customWidth="1"/>
    <col min="24" max="26" width="8.00390625" style="0" customWidth="1"/>
  </cols>
  <sheetData>
    <row r="1" s="46" customFormat="1" ht="15.75">
      <c r="B1" s="87" t="s">
        <v>113</v>
      </c>
    </row>
    <row r="2" spans="1:26" s="48" customFormat="1" ht="15.75" thickBot="1">
      <c r="A2" s="46"/>
      <c r="B2" s="72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27" customFormat="1" ht="12.75">
      <c r="A3" s="47"/>
      <c r="B3" s="79" t="s">
        <v>104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75"/>
    </row>
    <row r="4" spans="1:26" s="27" customFormat="1" ht="267.75">
      <c r="A4" s="33"/>
      <c r="B4" s="34"/>
      <c r="C4" s="34" t="s">
        <v>24</v>
      </c>
      <c r="D4" s="34" t="s">
        <v>25</v>
      </c>
      <c r="E4" s="34" t="s">
        <v>26</v>
      </c>
      <c r="F4" s="34" t="s">
        <v>27</v>
      </c>
      <c r="G4" s="34" t="s">
        <v>28</v>
      </c>
      <c r="H4" s="34" t="s">
        <v>29</v>
      </c>
      <c r="I4" s="34" t="s">
        <v>30</v>
      </c>
      <c r="J4" s="34" t="s">
        <v>31</v>
      </c>
      <c r="K4" s="34" t="s">
        <v>32</v>
      </c>
      <c r="L4" s="34" t="s">
        <v>33</v>
      </c>
      <c r="M4" s="34" t="s">
        <v>92</v>
      </c>
      <c r="N4" s="34" t="s">
        <v>35</v>
      </c>
      <c r="O4" s="34" t="s">
        <v>36</v>
      </c>
      <c r="P4" s="34" t="s">
        <v>37</v>
      </c>
      <c r="Q4" s="34" t="s">
        <v>38</v>
      </c>
      <c r="R4" s="34" t="s">
        <v>109</v>
      </c>
      <c r="S4" s="34" t="s">
        <v>39</v>
      </c>
      <c r="T4" s="34" t="s">
        <v>40</v>
      </c>
      <c r="U4" s="34" t="s">
        <v>42</v>
      </c>
      <c r="V4" s="34" t="s">
        <v>43</v>
      </c>
      <c r="W4" s="34" t="s">
        <v>44</v>
      </c>
      <c r="X4" s="34" t="s">
        <v>45</v>
      </c>
      <c r="Y4" s="34" t="s">
        <v>46</v>
      </c>
      <c r="Z4" s="35" t="s">
        <v>47</v>
      </c>
    </row>
    <row r="5" spans="1:26" ht="15" customHeight="1">
      <c r="A5" s="76">
        <v>1</v>
      </c>
      <c r="B5" s="37" t="s">
        <v>24</v>
      </c>
      <c r="C5" s="38">
        <f>'[2]valores86'!C7/'[2]valores86'!C$110</f>
        <v>0.1773174467680883</v>
      </c>
      <c r="D5" s="38">
        <f>'[2]valores86'!D7/'[2]valores86'!D$110</f>
        <v>0.3462465944549714</v>
      </c>
      <c r="E5" s="38">
        <f>'[2]valores86'!E7/'[2]valores86'!E$110</f>
        <v>0.4898241668766842</v>
      </c>
      <c r="F5" s="38">
        <f>'[2]valores86'!F7/'[2]valores86'!F$110</f>
        <v>0.12863641971409798</v>
      </c>
      <c r="G5" s="38">
        <f>'[2]valores86'!G7/'[2]valores86'!G$110</f>
        <v>0</v>
      </c>
      <c r="H5" s="38">
        <f>'[2]valores86'!H7/'[2]valores86'!H$110</f>
        <v>0.05081008279085736</v>
      </c>
      <c r="I5" s="38">
        <f>'[2]valores86'!I7/'[2]valores86'!I$110</f>
        <v>0</v>
      </c>
      <c r="J5" s="38">
        <f>'[2]valores86'!J7/'[2]valores86'!J$110</f>
        <v>0</v>
      </c>
      <c r="K5" s="38">
        <f>'[2]valores86'!K7/'[2]valores86'!K$110</f>
        <v>0</v>
      </c>
      <c r="L5" s="38">
        <f>'[2]valores86'!L7/'[2]valores86'!L$110</f>
        <v>0</v>
      </c>
      <c r="M5" s="38">
        <f>'[2]valores86'!M7/'[2]valores86'!M$110</f>
        <v>0.00423360324940766</v>
      </c>
      <c r="N5" s="38">
        <f>'[2]valores86'!N7/'[2]valores86'!N$110</f>
        <v>0</v>
      </c>
      <c r="O5" s="38">
        <f>'[2]valores86'!O7/'[2]valores86'!O$110</f>
        <v>0.05940905315477195</v>
      </c>
      <c r="P5" s="38">
        <f>'[2]valores86'!P7/'[2]valores86'!P$110</f>
        <v>0</v>
      </c>
      <c r="Q5" s="38">
        <f>'[2]valores86'!Q7/'[2]valores86'!Q$110</f>
        <v>0.00017065130066210488</v>
      </c>
      <c r="R5" s="38">
        <f>'[2]valores86'!R7/'[2]valores86'!R$110</f>
        <v>0.018015472360881645</v>
      </c>
      <c r="S5" s="38">
        <f>'[2]valores86'!S7/'[2]valores86'!S$110</f>
        <v>0</v>
      </c>
      <c r="T5" s="38">
        <f>'[2]valores86'!T7/'[2]valores86'!T$110</f>
        <v>0</v>
      </c>
      <c r="U5" s="38">
        <f>'[2]valores86'!V7/'[2]valores86'!V$110</f>
        <v>0</v>
      </c>
      <c r="V5" s="38">
        <f>'[2]valores86'!W7/'[2]valores86'!W$110</f>
        <v>0.0012366862163023082</v>
      </c>
      <c r="W5" s="38">
        <f>'[2]valores86'!X7/'[2]valores86'!X$110</f>
        <v>0.0005190774054518858</v>
      </c>
      <c r="X5" s="38">
        <f>'[2]valores86'!Y7/'[2]valores86'!Y$110</f>
        <v>0.005101864296264753</v>
      </c>
      <c r="Y5" s="38">
        <f>'[2]valores86'!Z7/'[2]valores86'!Z$110</f>
        <v>0.0034028406662981563</v>
      </c>
      <c r="Z5" s="39">
        <f>'[2]valores86'!AA7/'[2]valores86'!AA$110</f>
        <v>0.04538080874008449</v>
      </c>
    </row>
    <row r="6" spans="1:26" ht="15" customHeight="1">
      <c r="A6" s="76">
        <v>2</v>
      </c>
      <c r="B6" s="37" t="s">
        <v>61</v>
      </c>
      <c r="C6" s="38">
        <f>'[2]valores86'!C11/'[2]valores86'!C$110</f>
        <v>0.17837027694183166</v>
      </c>
      <c r="D6" s="38">
        <f>'[2]valores86'!D11/'[2]valores86'!D$110</f>
        <v>0.18700189484996746</v>
      </c>
      <c r="E6" s="38">
        <f>'[2]valores86'!E11/'[2]valores86'!E$110</f>
        <v>0</v>
      </c>
      <c r="F6" s="38">
        <f>'[2]valores86'!F11/'[2]valores86'!F$110</f>
        <v>0.040553056325066686</v>
      </c>
      <c r="G6" s="38">
        <f>'[2]valores86'!G11/'[2]valores86'!G$110</f>
        <v>0.052526403878340164</v>
      </c>
      <c r="H6" s="38">
        <f>'[2]valores86'!H11/'[2]valores86'!H$110</f>
        <v>0.003712604368857257</v>
      </c>
      <c r="I6" s="38">
        <f>'[2]valores86'!I11/'[2]valores86'!I$110</f>
        <v>0.0003993311786575</v>
      </c>
      <c r="J6" s="38">
        <f>'[2]valores86'!J11/'[2]valores86'!J$110</f>
        <v>0</v>
      </c>
      <c r="K6" s="38">
        <f>'[2]valores86'!K11/'[2]valores86'!K$110</f>
        <v>0</v>
      </c>
      <c r="L6" s="38">
        <f>'[2]valores86'!L11/'[2]valores86'!L$110</f>
        <v>0</v>
      </c>
      <c r="M6" s="38">
        <f>'[2]valores86'!M11/'[2]valores86'!M$110</f>
        <v>0</v>
      </c>
      <c r="N6" s="38">
        <f>'[2]valores86'!N11/'[2]valores86'!N$110</f>
        <v>0</v>
      </c>
      <c r="O6" s="38">
        <f>'[2]valores86'!O11/'[2]valores86'!O$110</f>
        <v>0</v>
      </c>
      <c r="P6" s="38">
        <f>'[2]valores86'!P11/'[2]valores86'!P$110</f>
        <v>0</v>
      </c>
      <c r="Q6" s="38">
        <f>'[2]valores86'!Q11/'[2]valores86'!Q$110</f>
        <v>0</v>
      </c>
      <c r="R6" s="38">
        <f>'[2]valores86'!R11/'[2]valores86'!R$110</f>
        <v>0.03101448072400971</v>
      </c>
      <c r="S6" s="38">
        <f>'[2]valores86'!S11/'[2]valores86'!S$110</f>
        <v>0</v>
      </c>
      <c r="T6" s="38">
        <f>'[2]valores86'!T11/'[2]valores86'!T$110</f>
        <v>0</v>
      </c>
      <c r="U6" s="38">
        <f>'[2]valores86'!V11/'[2]valores86'!V$110</f>
        <v>0</v>
      </c>
      <c r="V6" s="38">
        <f>'[2]valores86'!W11/'[2]valores86'!W$110</f>
        <v>0.0021735697135010267</v>
      </c>
      <c r="W6" s="38">
        <f>'[2]valores86'!X11/'[2]valores86'!X$110</f>
        <v>0.007492541539300452</v>
      </c>
      <c r="X6" s="38">
        <f>'[2]valores86'!Y11/'[2]valores86'!Y$110</f>
        <v>0.006307469161266285</v>
      </c>
      <c r="Y6" s="38">
        <f>'[2]valores86'!Z11/'[2]valores86'!Z$110</f>
        <v>0.0037791917077320543</v>
      </c>
      <c r="Z6" s="39">
        <f>'[2]valores86'!AA11/'[2]valores86'!AA$110</f>
        <v>0.024683026656137374</v>
      </c>
    </row>
    <row r="7" spans="1:26" ht="15" customHeight="1">
      <c r="A7" s="76">
        <v>3</v>
      </c>
      <c r="B7" s="37" t="s">
        <v>26</v>
      </c>
      <c r="C7" s="38">
        <f>'[2]valores86'!C15/'[2]valores86'!C$110</f>
        <v>0</v>
      </c>
      <c r="D7" s="38">
        <f>'[2]valores86'!D15/'[2]valores86'!D$110</f>
        <v>0</v>
      </c>
      <c r="E7" s="38">
        <f>'[2]valores86'!E15/'[2]valores86'!E$110</f>
        <v>0.05754609076633775</v>
      </c>
      <c r="F7" s="38">
        <f>'[2]valores86'!F15/'[2]valores86'!F$110</f>
        <v>0.0006434182153467641</v>
      </c>
      <c r="G7" s="38">
        <f>'[2]valores86'!G15/'[2]valores86'!G$110</f>
        <v>0</v>
      </c>
      <c r="H7" s="38">
        <f>'[2]valores86'!H15/'[2]valores86'!H$110</f>
        <v>0</v>
      </c>
      <c r="I7" s="38">
        <f>'[2]valores86'!I15/'[2]valores86'!I$110</f>
        <v>0</v>
      </c>
      <c r="J7" s="38">
        <f>'[2]valores86'!J15/'[2]valores86'!J$110</f>
        <v>0</v>
      </c>
      <c r="K7" s="38">
        <f>'[2]valores86'!K15/'[2]valores86'!K$110</f>
        <v>0</v>
      </c>
      <c r="L7" s="38">
        <f>'[2]valores86'!L15/'[2]valores86'!L$110</f>
        <v>0</v>
      </c>
      <c r="M7" s="38">
        <f>'[2]valores86'!M15/'[2]valores86'!M$110</f>
        <v>0</v>
      </c>
      <c r="N7" s="38">
        <f>'[2]valores86'!N15/'[2]valores86'!N$110</f>
        <v>0</v>
      </c>
      <c r="O7" s="38">
        <f>'[2]valores86'!O15/'[2]valores86'!O$110</f>
        <v>0</v>
      </c>
      <c r="P7" s="38">
        <f>'[2]valores86'!P15/'[2]valores86'!P$110</f>
        <v>0</v>
      </c>
      <c r="Q7" s="38">
        <f>'[2]valores86'!Q15/'[2]valores86'!Q$110</f>
        <v>0</v>
      </c>
      <c r="R7" s="38">
        <f>'[2]valores86'!R15/'[2]valores86'!R$110</f>
        <v>0.0023161741007054486</v>
      </c>
      <c r="S7" s="38">
        <f>'[2]valores86'!S15/'[2]valores86'!S$110</f>
        <v>0</v>
      </c>
      <c r="T7" s="38">
        <f>'[2]valores86'!T15/'[2]valores86'!T$110</f>
        <v>0</v>
      </c>
      <c r="U7" s="38">
        <f>'[2]valores86'!V15/'[2]valores86'!V$110</f>
        <v>0</v>
      </c>
      <c r="V7" s="38">
        <f>'[2]valores86'!W15/'[2]valores86'!W$110</f>
        <v>0.00012045644963983521</v>
      </c>
      <c r="W7" s="38">
        <f>'[2]valores86'!X15/'[2]valores86'!X$110</f>
        <v>0.0004928613748735077</v>
      </c>
      <c r="X7" s="38">
        <f>'[2]valores86'!Y15/'[2]valores86'!Y$110</f>
        <v>0.0004178365646914796</v>
      </c>
      <c r="Y7" s="38">
        <f>'[2]valores86'!Z15/'[2]valores86'!Z$110</f>
        <v>0.00019209584406521853</v>
      </c>
      <c r="Z7" s="39">
        <f>'[2]valores86'!AA15/'[2]valores86'!AA$110</f>
        <v>0.0015194603491441583</v>
      </c>
    </row>
    <row r="8" spans="1:26" ht="15" customHeight="1">
      <c r="A8" s="76">
        <v>4</v>
      </c>
      <c r="B8" s="37" t="s">
        <v>27</v>
      </c>
      <c r="C8" s="38">
        <f>'[2]valores86'!C19/'[2]valores86'!C$110</f>
        <v>0</v>
      </c>
      <c r="D8" s="38">
        <f>'[2]valores86'!D19/'[2]valores86'!D$110</f>
        <v>0</v>
      </c>
      <c r="E8" s="38">
        <f>'[2]valores86'!E19/'[2]valores86'!E$110</f>
        <v>0</v>
      </c>
      <c r="F8" s="38">
        <f>'[2]valores86'!F19/'[2]valores86'!F$110</f>
        <v>0.1699981759979033</v>
      </c>
      <c r="G8" s="38">
        <f>'[2]valores86'!G19/'[2]valores86'!G$110</f>
        <v>0</v>
      </c>
      <c r="H8" s="38">
        <f>'[2]valores86'!H19/'[2]valores86'!H$110</f>
        <v>0</v>
      </c>
      <c r="I8" s="38">
        <f>'[2]valores86'!I19/'[2]valores86'!I$110</f>
        <v>0</v>
      </c>
      <c r="J8" s="38">
        <f>'[2]valores86'!J19/'[2]valores86'!J$110</f>
        <v>0</v>
      </c>
      <c r="K8" s="38">
        <f>'[2]valores86'!K19/'[2]valores86'!K$110</f>
        <v>0</v>
      </c>
      <c r="L8" s="38">
        <f>'[2]valores86'!L19/'[2]valores86'!L$110</f>
        <v>0</v>
      </c>
      <c r="M8" s="38">
        <f>'[2]valores86'!M19/'[2]valores86'!M$110</f>
        <v>0</v>
      </c>
      <c r="N8" s="38">
        <f>'[2]valores86'!N19/'[2]valores86'!N$110</f>
        <v>0</v>
      </c>
      <c r="O8" s="38">
        <f>'[2]valores86'!O19/'[2]valores86'!O$110</f>
        <v>0</v>
      </c>
      <c r="P8" s="38">
        <f>'[2]valores86'!P19/'[2]valores86'!P$110</f>
        <v>0</v>
      </c>
      <c r="Q8" s="38">
        <f>'[2]valores86'!Q19/'[2]valores86'!Q$110</f>
        <v>0</v>
      </c>
      <c r="R8" s="38">
        <f>'[2]valores86'!R19/'[2]valores86'!R$110</f>
        <v>0.030941189664017883</v>
      </c>
      <c r="S8" s="38">
        <f>'[2]valores86'!S19/'[2]valores86'!S$110</f>
        <v>0</v>
      </c>
      <c r="T8" s="38">
        <f>'[2]valores86'!T19/'[2]valores86'!T$110</f>
        <v>0</v>
      </c>
      <c r="U8" s="38">
        <f>'[2]valores86'!V19/'[2]valores86'!V$110</f>
        <v>8.718862761363481E-06</v>
      </c>
      <c r="V8" s="38">
        <f>'[2]valores86'!W19/'[2]valores86'!W$110</f>
        <v>0.00012313325963183154</v>
      </c>
      <c r="W8" s="38">
        <f>'[2]valores86'!X19/'[2]valores86'!X$110</f>
        <v>0.00030410595470918556</v>
      </c>
      <c r="X8" s="38">
        <f>'[2]valores86'!Y19/'[2]valores86'!Y$110</f>
        <v>0.0005349372579808115</v>
      </c>
      <c r="Y8" s="38">
        <f>'[2]valores86'!Z19/'[2]valores86'!Z$110</f>
        <v>0.00067037529255413</v>
      </c>
      <c r="Z8" s="39">
        <f>'[2]valores86'!AA19/'[2]valores86'!AA$110</f>
        <v>0.005454251273935518</v>
      </c>
    </row>
    <row r="9" spans="1:26" ht="15" customHeight="1">
      <c r="A9" s="76">
        <v>5</v>
      </c>
      <c r="B9" s="37" t="s">
        <v>28</v>
      </c>
      <c r="C9" s="38">
        <f>'[2]valores86'!C23/'[2]valores86'!C$110</f>
        <v>0.0007876436262215398</v>
      </c>
      <c r="D9" s="38">
        <f>'[2]valores86'!D23/'[2]valores86'!D$110</f>
        <v>0.0006768668043025349</v>
      </c>
      <c r="E9" s="38">
        <f>'[2]valores86'!E23/'[2]valores86'!E$110</f>
        <v>3.101797103696955E-05</v>
      </c>
      <c r="F9" s="38">
        <f>'[2]valores86'!F23/'[2]valores86'!F$110</f>
        <v>0.00024792261508774395</v>
      </c>
      <c r="G9" s="38">
        <f>'[2]valores86'!G23/'[2]valores86'!G$110</f>
        <v>0.27462919143533215</v>
      </c>
      <c r="H9" s="38">
        <f>'[2]valores86'!H23/'[2]valores86'!H$110</f>
        <v>0.00012544069296079648</v>
      </c>
      <c r="I9" s="38">
        <f>'[2]valores86'!I23/'[2]valores86'!I$110</f>
        <v>0.010335905244082427</v>
      </c>
      <c r="J9" s="38">
        <f>'[2]valores86'!J23/'[2]valores86'!J$110</f>
        <v>0.00011546889556625685</v>
      </c>
      <c r="K9" s="38">
        <f>'[2]valores86'!K23/'[2]valores86'!K$110</f>
        <v>0</v>
      </c>
      <c r="L9" s="38">
        <f>'[2]valores86'!L23/'[2]valores86'!L$110</f>
        <v>0.0003652691738644372</v>
      </c>
      <c r="M9" s="38">
        <f>'[2]valores86'!M23/'[2]valores86'!M$110</f>
        <v>0.0013539198583591534</v>
      </c>
      <c r="N9" s="38">
        <f>'[2]valores86'!N23/'[2]valores86'!N$110</f>
        <v>0.001628328233550175</v>
      </c>
      <c r="O9" s="38">
        <f>'[2]valores86'!O23/'[2]valores86'!O$110</f>
        <v>0.050150069657470556</v>
      </c>
      <c r="P9" s="38">
        <f>'[2]valores86'!P23/'[2]valores86'!P$110</f>
        <v>0.000266143717607508</v>
      </c>
      <c r="Q9" s="38">
        <f>'[2]valores86'!Q23/'[2]valores86'!Q$110</f>
        <v>0.0006615508213979001</v>
      </c>
      <c r="R9" s="38">
        <f>'[2]valores86'!R23/'[2]valores86'!R$110</f>
        <v>0.001658320610417397</v>
      </c>
      <c r="S9" s="38">
        <f>'[2]valores86'!S23/'[2]valores86'!S$110</f>
        <v>0.0007242945651824982</v>
      </c>
      <c r="T9" s="38">
        <f>'[2]valores86'!T23/'[2]valores86'!T$110</f>
        <v>0.00017743800893175906</v>
      </c>
      <c r="U9" s="38">
        <f>'[2]valores86'!V23/'[2]valores86'!V$110</f>
        <v>0.0001432384596509715</v>
      </c>
      <c r="V9" s="38">
        <f>'[2]valores86'!W23/'[2]valores86'!W$110</f>
        <v>0.003102422780723756</v>
      </c>
      <c r="W9" s="38">
        <f>'[2]valores86'!X23/'[2]valores86'!X$110</f>
        <v>0.00015205297735459278</v>
      </c>
      <c r="X9" s="38">
        <f>'[2]valores86'!Y23/'[2]valores86'!Y$110</f>
        <v>0.0028663056061956913</v>
      </c>
      <c r="Y9" s="38">
        <f>'[2]valores86'!Z23/'[2]valores86'!Z$110</f>
        <v>0.0015681293393079061</v>
      </c>
      <c r="Z9" s="39">
        <f>'[2]valores86'!AA23/'[2]valores86'!AA$110</f>
        <v>0.005758584283203802</v>
      </c>
    </row>
    <row r="10" spans="1:26" ht="15" customHeight="1">
      <c r="A10" s="76">
        <v>6</v>
      </c>
      <c r="B10" s="37" t="s">
        <v>62</v>
      </c>
      <c r="C10" s="38">
        <f>'[2]valores86'!C27/'[2]valores86'!C$110</f>
        <v>8.179883555399575E-05</v>
      </c>
      <c r="D10" s="38">
        <f>'[2]valores86'!D27/'[2]valores86'!D$110</f>
        <v>0.012967938384381155</v>
      </c>
      <c r="E10" s="38">
        <f>'[2]valores86'!E27/'[2]valores86'!E$110</f>
        <v>0.0070100614543551175</v>
      </c>
      <c r="F10" s="38">
        <f>'[2]valores86'!F27/'[2]valores86'!F$110</f>
        <v>0.0047990734777699</v>
      </c>
      <c r="G10" s="38">
        <f>'[2]valores86'!G27/'[2]valores86'!G$110</f>
        <v>0.0061104057251688115</v>
      </c>
      <c r="H10" s="38">
        <f>'[2]valores86'!H27/'[2]valores86'!H$110</f>
        <v>0.3597837138367686</v>
      </c>
      <c r="I10" s="38">
        <f>'[2]valores86'!I27/'[2]valores86'!I$110</f>
        <v>0.02186746875408672</v>
      </c>
      <c r="J10" s="38">
        <f>'[2]valores86'!J27/'[2]valores86'!J$110</f>
        <v>0.002878849509913267</v>
      </c>
      <c r="K10" s="38">
        <f>'[2]valores86'!K27/'[2]valores86'!K$110</f>
        <v>0.005245537476772771</v>
      </c>
      <c r="L10" s="38">
        <f>'[2]valores86'!L27/'[2]valores86'!L$110</f>
        <v>0.00784775285666321</v>
      </c>
      <c r="M10" s="38">
        <f>'[2]valores86'!M27/'[2]valores86'!M$110</f>
        <v>0.005466711797328612</v>
      </c>
      <c r="N10" s="38">
        <f>'[2]valores86'!N27/'[2]valores86'!N$110</f>
        <v>0.0023735363998703147</v>
      </c>
      <c r="O10" s="38">
        <f>'[2]valores86'!O27/'[2]valores86'!O$110</f>
        <v>0.017776718851859576</v>
      </c>
      <c r="P10" s="38">
        <f>'[2]valores86'!P27/'[2]valores86'!P$110</f>
        <v>0.001610869869729654</v>
      </c>
      <c r="Q10" s="38">
        <f>'[2]valores86'!Q27/'[2]valores86'!Q$110</f>
        <v>0.001289857882926559</v>
      </c>
      <c r="R10" s="38">
        <f>'[2]valores86'!R27/'[2]valores86'!R$110</f>
        <v>0.004248232405068209</v>
      </c>
      <c r="S10" s="38">
        <f>'[2]valores86'!S27/'[2]valores86'!S$110</f>
        <v>0.002772784180283137</v>
      </c>
      <c r="T10" s="38">
        <f>'[2]valores86'!T27/'[2]valores86'!T$110</f>
        <v>0.008638879446906486</v>
      </c>
      <c r="U10" s="38">
        <f>'[2]valores86'!V27/'[2]valores86'!V$110</f>
        <v>0.011287190620496552</v>
      </c>
      <c r="V10" s="38">
        <f>'[2]valores86'!W27/'[2]valores86'!W$110</f>
        <v>0.009061001822907604</v>
      </c>
      <c r="W10" s="38">
        <f>'[2]valores86'!X27/'[2]valores86'!X$110</f>
        <v>0.016154318042396566</v>
      </c>
      <c r="X10" s="38">
        <f>'[2]valores86'!Y27/'[2]valores86'!Y$110</f>
        <v>0.0029727607819132655</v>
      </c>
      <c r="Y10" s="38">
        <f>'[2]valores86'!Z27/'[2]valores86'!Z$110</f>
        <v>0.008914815293965447</v>
      </c>
      <c r="Z10" s="39">
        <f>'[2]valores86'!AA27/'[2]valores86'!AA$110</f>
        <v>0.019891286889979258</v>
      </c>
    </row>
    <row r="11" spans="1:26" ht="15" customHeight="1">
      <c r="A11" s="76">
        <v>7</v>
      </c>
      <c r="B11" s="37" t="s">
        <v>63</v>
      </c>
      <c r="C11" s="38">
        <f>'[2]valores86'!C31/'[2]valores86'!C$110</f>
        <v>0.0844335496604688</v>
      </c>
      <c r="D11" s="38">
        <f>'[2]valores86'!D31/'[2]valores86'!D$110</f>
        <v>0.013599555040206641</v>
      </c>
      <c r="E11" s="38">
        <f>'[2]valores86'!E31/'[2]valores86'!E$110</f>
        <v>0.0015780392765058257</v>
      </c>
      <c r="F11" s="38">
        <f>'[2]valores86'!F31/'[2]valores86'!F$110</f>
        <v>0.03587204123543381</v>
      </c>
      <c r="G11" s="38">
        <f>'[2]valores86'!G31/'[2]valores86'!G$110</f>
        <v>0.1255122063831015</v>
      </c>
      <c r="H11" s="38">
        <f>'[2]valores86'!H31/'[2]valores86'!H$110</f>
        <v>0.05408034366348443</v>
      </c>
      <c r="I11" s="38">
        <f>'[2]valores86'!I31/'[2]valores86'!I$110</f>
        <v>0.3535482093149252</v>
      </c>
      <c r="J11" s="38">
        <f>'[2]valores86'!J31/'[2]valores86'!J$110</f>
        <v>0.022941570114550395</v>
      </c>
      <c r="K11" s="38">
        <f>'[2]valores86'!K31/'[2]valores86'!K$110</f>
        <v>0.0007356385974701402</v>
      </c>
      <c r="L11" s="38">
        <f>'[2]valores86'!L31/'[2]valores86'!L$110</f>
        <v>0.023628119085129854</v>
      </c>
      <c r="M11" s="38">
        <f>'[2]valores86'!M31/'[2]valores86'!M$110</f>
        <v>0.07079230348634363</v>
      </c>
      <c r="N11" s="38">
        <f>'[2]valores86'!N31/'[2]valores86'!N$110</f>
        <v>0.018265665098288444</v>
      </c>
      <c r="O11" s="38">
        <f>'[2]valores86'!O31/'[2]valores86'!O$110</f>
        <v>0.05680144808119315</v>
      </c>
      <c r="P11" s="38">
        <f>'[2]valores86'!P31/'[2]valores86'!P$110</f>
        <v>0.006961759350049027</v>
      </c>
      <c r="Q11" s="38">
        <f>'[2]valores86'!Q31/'[2]valores86'!Q$110</f>
        <v>0.014912042552012634</v>
      </c>
      <c r="R11" s="38">
        <f>'[2]valores86'!R31/'[2]valores86'!R$110</f>
        <v>0.009809522716254985</v>
      </c>
      <c r="S11" s="38">
        <f>'[2]valores86'!S31/'[2]valores86'!S$110</f>
        <v>0.012126416487432186</v>
      </c>
      <c r="T11" s="38">
        <f>'[2]valores86'!T31/'[2]valores86'!T$110</f>
        <v>0.0004574907700168245</v>
      </c>
      <c r="U11" s="38">
        <f>'[2]valores86'!V31/'[2]valores86'!V$110</f>
        <v>0.002675445315915537</v>
      </c>
      <c r="V11" s="38">
        <f>'[2]valores86'!W31/'[2]valores86'!W$110</f>
        <v>0.004084812047786411</v>
      </c>
      <c r="W11" s="38">
        <f>'[2]valores86'!X31/'[2]valores86'!X$110</f>
        <v>0.001153505345448635</v>
      </c>
      <c r="X11" s="38">
        <f>'[2]valores86'!Y31/'[2]valores86'!Y$110</f>
        <v>0.07913345486965895</v>
      </c>
      <c r="Y11" s="38">
        <f>'[2]valores86'!Z31/'[2]valores86'!Z$110</f>
        <v>0.0067743187458101555</v>
      </c>
      <c r="Z11" s="39">
        <f>'[2]valores86'!AA31/'[2]valores86'!AA$110</f>
        <v>0.03915253915781771</v>
      </c>
    </row>
    <row r="12" spans="1:26" ht="15" customHeight="1">
      <c r="A12" s="76">
        <v>8</v>
      </c>
      <c r="B12" s="37" t="s">
        <v>64</v>
      </c>
      <c r="C12" s="38">
        <f>'[2]valores86'!C35/'[2]valores86'!C$110</f>
        <v>0.00015700099082137893</v>
      </c>
      <c r="D12" s="38">
        <f>'[2]valores86'!D35/'[2]valores86'!D$110</f>
        <v>0.014563006118197159</v>
      </c>
      <c r="E12" s="38">
        <f>'[2]valores86'!E35/'[2]valores86'!E$110</f>
        <v>0.007975495802880794</v>
      </c>
      <c r="F12" s="38">
        <f>'[2]valores86'!F35/'[2]valores86'!F$110</f>
        <v>0.032300774994288926</v>
      </c>
      <c r="G12" s="38">
        <f>'[2]valores86'!G35/'[2]valores86'!G$110</f>
        <v>0</v>
      </c>
      <c r="H12" s="38">
        <f>'[2]valores86'!H35/'[2]valores86'!H$110</f>
        <v>0</v>
      </c>
      <c r="I12" s="38">
        <f>'[2]valores86'!I35/'[2]valores86'!I$110</f>
        <v>0.012563752872382162</v>
      </c>
      <c r="J12" s="38">
        <f>'[2]valores86'!J35/'[2]valores86'!J$110</f>
        <v>0.17861988426867512</v>
      </c>
      <c r="K12" s="38">
        <f>'[2]valores86'!K35/'[2]valores86'!K$110</f>
        <v>0.002933342457532992</v>
      </c>
      <c r="L12" s="38">
        <f>'[2]valores86'!L35/'[2]valores86'!L$110</f>
        <v>0.0018042083436334321</v>
      </c>
      <c r="M12" s="38">
        <f>'[2]valores86'!M35/'[2]valores86'!M$110</f>
        <v>0.0037305699481865284</v>
      </c>
      <c r="N12" s="38">
        <f>'[2]valores86'!N35/'[2]valores86'!N$110</f>
        <v>0.010361942122165749</v>
      </c>
      <c r="O12" s="38">
        <f>'[2]valores86'!O35/'[2]valores86'!O$110</f>
        <v>0.002945137710006519</v>
      </c>
      <c r="P12" s="38">
        <f>'[2]valores86'!P35/'[2]valores86'!P$110</f>
        <v>0.01359434094410982</v>
      </c>
      <c r="Q12" s="38">
        <f>'[2]valores86'!Q35/'[2]valores86'!Q$110</f>
        <v>0.15239050336593069</v>
      </c>
      <c r="R12" s="38">
        <f>'[2]valores86'!R35/'[2]valores86'!R$110</f>
        <v>0.0013510279733432466</v>
      </c>
      <c r="S12" s="38">
        <f>'[2]valores86'!S35/'[2]valores86'!S$110</f>
        <v>0.00026483900998362813</v>
      </c>
      <c r="T12" s="38">
        <f>'[2]valores86'!T35/'[2]valores86'!T$110</f>
        <v>8.55122934610887E-06</v>
      </c>
      <c r="U12" s="38">
        <f>'[2]valores86'!V35/'[2]valores86'!V$110</f>
        <v>0.00020427049898051584</v>
      </c>
      <c r="V12" s="38">
        <f>'[2]valores86'!W35/'[2]valores86'!W$110</f>
        <v>0.0005540996683432419</v>
      </c>
      <c r="W12" s="38">
        <f>'[2]valores86'!X35/'[2]valores86'!X$110</f>
        <v>3.145923669405368E-05</v>
      </c>
      <c r="X12" s="38">
        <f>'[2]valores86'!Y35/'[2]valores86'!Y$110</f>
        <v>0.0012907690055755899</v>
      </c>
      <c r="Y12" s="38">
        <f>'[2]valores86'!Z35/'[2]valores86'!Z$110</f>
        <v>0.00015681293393079063</v>
      </c>
      <c r="Z12" s="39">
        <f>'[2]valores86'!AA35/'[2]valores86'!AA$110</f>
        <v>0.021273971216847088</v>
      </c>
    </row>
    <row r="13" spans="1:26" ht="15" customHeight="1">
      <c r="A13" s="76">
        <v>9</v>
      </c>
      <c r="B13" s="37" t="s">
        <v>32</v>
      </c>
      <c r="C13" s="38">
        <f>'[2]valores86'!C39/'[2]valores86'!C$110</f>
        <v>0</v>
      </c>
      <c r="D13" s="38">
        <f>'[2]valores86'!D39/'[2]valores86'!D$110</f>
        <v>0</v>
      </c>
      <c r="E13" s="38">
        <f>'[2]valores86'!E39/'[2]valores86'!E$110</f>
        <v>0</v>
      </c>
      <c r="F13" s="38">
        <f>'[2]valores86'!F39/'[2]valores86'!F$110</f>
        <v>0</v>
      </c>
      <c r="G13" s="38">
        <f>'[2]valores86'!G39/'[2]valores86'!G$110</f>
        <v>0</v>
      </c>
      <c r="H13" s="38">
        <f>'[2]valores86'!H39/'[2]valores86'!H$110</f>
        <v>0.0003411106562969027</v>
      </c>
      <c r="I13" s="38">
        <f>'[2]valores86'!I39/'[2]valores86'!I$110</f>
        <v>0.0054762082687241954</v>
      </c>
      <c r="J13" s="38">
        <f>'[2]valores86'!J39/'[2]valores86'!J$110</f>
        <v>0.02299930456233352</v>
      </c>
      <c r="K13" s="38">
        <f>'[2]valores86'!K39/'[2]valores86'!K$110</f>
        <v>0.563142532281243</v>
      </c>
      <c r="L13" s="38">
        <f>'[2]valores86'!L39/'[2]valores86'!L$110</f>
        <v>0.34002870499164306</v>
      </c>
      <c r="M13" s="38">
        <f>'[2]valores86'!M39/'[2]valores86'!M$110</f>
        <v>0.16622594839482385</v>
      </c>
      <c r="N13" s="38">
        <f>'[2]valores86'!N39/'[2]valores86'!N$110</f>
        <v>0.04515525976634014</v>
      </c>
      <c r="O13" s="38">
        <f>'[2]valores86'!O39/'[2]valores86'!O$110</f>
        <v>0.04935256607532273</v>
      </c>
      <c r="P13" s="38">
        <f>'[2]valores86'!P39/'[2]valores86'!P$110</f>
        <v>0.0007704160246533128</v>
      </c>
      <c r="Q13" s="38">
        <f>'[2]valores86'!Q39/'[2]valores86'!Q$110</f>
        <v>0.05042191871900712</v>
      </c>
      <c r="R13" s="38">
        <f>'[2]valores86'!R39/'[2]valores86'!R$110</f>
        <v>0</v>
      </c>
      <c r="S13" s="38">
        <f>'[2]valores86'!S39/'[2]valores86'!S$110</f>
        <v>0.0004133093640653591</v>
      </c>
      <c r="T13" s="38">
        <f>'[2]valores86'!T39/'[2]valores86'!T$110</f>
        <v>0</v>
      </c>
      <c r="U13" s="38">
        <f>'[2]valores86'!V39/'[2]valores86'!V$110</f>
        <v>0</v>
      </c>
      <c r="V13" s="38">
        <f>'[2]valores86'!W39/'[2]valores86'!W$110</f>
        <v>0.0003854606388474727</v>
      </c>
      <c r="W13" s="38">
        <f>'[2]valores86'!X39/'[2]valores86'!X$110</f>
        <v>0</v>
      </c>
      <c r="X13" s="38">
        <f>'[2]valores86'!Y39/'[2]valores86'!Y$110</f>
        <v>0</v>
      </c>
      <c r="Y13" s="38">
        <f>'[2]valores86'!Z39/'[2]valores86'!Z$110</f>
        <v>0</v>
      </c>
      <c r="Z13" s="39">
        <f>'[2]valores86'!AA39/'[2]valores86'!AA$110</f>
        <v>0.06849968753081011</v>
      </c>
    </row>
    <row r="14" spans="1:26" ht="15" customHeight="1">
      <c r="A14" s="76">
        <v>10</v>
      </c>
      <c r="B14" s="37" t="s">
        <v>65</v>
      </c>
      <c r="C14" s="38">
        <f>'[2]valores86'!C43/'[2]valores86'!C$110</f>
        <v>0.00015700099082137893</v>
      </c>
      <c r="D14" s="38">
        <f>'[2]valores86'!D43/'[2]valores86'!D$110</f>
        <v>0.0036954287922923916</v>
      </c>
      <c r="E14" s="38">
        <f>'[2]valores86'!E43/'[2]valores86'!E$110</f>
        <v>0.009464358412655333</v>
      </c>
      <c r="F14" s="38">
        <f>'[2]valores86'!F43/'[2]valores86'!F$110</f>
        <v>0.024396765908515375</v>
      </c>
      <c r="G14" s="38">
        <f>'[2]valores86'!G43/'[2]valores86'!G$110</f>
        <v>0.001500548277255151</v>
      </c>
      <c r="H14" s="38">
        <f>'[2]valores86'!H43/'[2]valores86'!H$110</f>
        <v>0.0007108305934445133</v>
      </c>
      <c r="I14" s="38">
        <f>'[2]valores86'!I43/'[2]valores86'!I$110</f>
        <v>0.0016813944364526315</v>
      </c>
      <c r="J14" s="38">
        <f>'[2]valores86'!J43/'[2]valores86'!J$110</f>
        <v>0.0006167088740470536</v>
      </c>
      <c r="K14" s="38">
        <f>'[2]valores86'!K43/'[2]valores86'!K$110</f>
        <v>0.0011014839107021598</v>
      </c>
      <c r="L14" s="38">
        <f>'[2]valores86'!L43/'[2]valores86'!L$110</f>
        <v>0.047662092807886865</v>
      </c>
      <c r="M14" s="38">
        <f>'[2]valores86'!M43/'[2]valores86'!M$110</f>
        <v>0.020925352149347775</v>
      </c>
      <c r="N14" s="38">
        <f>'[2]valores86'!N43/'[2]valores86'!N$110</f>
        <v>0.014581562388601864</v>
      </c>
      <c r="O14" s="38">
        <f>'[2]valores86'!O43/'[2]valores86'!O$110</f>
        <v>0.015602611576045772</v>
      </c>
      <c r="P14" s="38">
        <f>'[2]valores86'!P43/'[2]valores86'!P$110</f>
        <v>0.0059952374282112334</v>
      </c>
      <c r="Q14" s="38">
        <f>'[2]valores86'!Q43/'[2]valores86'!Q$110</f>
        <v>0.04946671468543092</v>
      </c>
      <c r="R14" s="38">
        <f>'[2]valores86'!R43/'[2]valores86'!R$110</f>
        <v>0.00024018275081657718</v>
      </c>
      <c r="S14" s="38">
        <f>'[2]valores86'!S43/'[2]valores86'!S$110</f>
        <v>0.00034308689929697287</v>
      </c>
      <c r="T14" s="38">
        <f>'[2]valores86'!T43/'[2]valores86'!T$110</f>
        <v>0</v>
      </c>
      <c r="U14" s="38">
        <f>'[2]valores86'!V43/'[2]valores86'!V$110</f>
        <v>7.72242130292194E-05</v>
      </c>
      <c r="V14" s="38">
        <f>'[2]valores86'!W43/'[2]valores86'!W$110</f>
        <v>0.0015579034153418688</v>
      </c>
      <c r="W14" s="38">
        <f>'[2]valores86'!X43/'[2]valores86'!X$110</f>
        <v>0.00022545786297405138</v>
      </c>
      <c r="X14" s="38">
        <f>'[2]valores86'!Y43/'[2]valores86'!Y$110</f>
        <v>0.0013759331461496494</v>
      </c>
      <c r="Y14" s="38">
        <f>'[2]valores86'!Z43/'[2]valores86'!Z$110</f>
        <v>0.00013329099384117203</v>
      </c>
      <c r="Z14" s="39">
        <f>'[2]valores86'!AA43/'[2]valores86'!AA$110</f>
        <v>0.009663187815601873</v>
      </c>
    </row>
    <row r="15" spans="1:26" ht="15" customHeight="1">
      <c r="A15" s="76">
        <v>11</v>
      </c>
      <c r="B15" s="37" t="s">
        <v>66</v>
      </c>
      <c r="C15" s="38">
        <f>'[2]valores86'!C47/'[2]valores86'!C$110</f>
        <v>0.04009066477385917</v>
      </c>
      <c r="D15" s="38">
        <f>'[2]valores86'!D47/'[2]valores86'!D$110</f>
        <v>0.012722833413463804</v>
      </c>
      <c r="E15" s="38">
        <f>'[2]valores86'!E47/'[2]valores86'!E$110</f>
        <v>0.009317023050229727</v>
      </c>
      <c r="F15" s="38">
        <f>'[2]valores86'!F47/'[2]valores86'!F$110</f>
        <v>0.011752712539040432</v>
      </c>
      <c r="G15" s="38">
        <f>'[2]valores86'!G47/'[2]valores86'!G$110</f>
        <v>0.009695850406879437</v>
      </c>
      <c r="H15" s="38">
        <f>'[2]valores86'!H47/'[2]valores86'!H$110</f>
        <v>0.016316092940549913</v>
      </c>
      <c r="I15" s="38">
        <f>'[2]valores86'!I47/'[2]valores86'!I$110</f>
        <v>0.0172039344629813</v>
      </c>
      <c r="J15" s="38">
        <f>'[2]valores86'!J47/'[2]valores86'!J$110</f>
        <v>0.04441091181063101</v>
      </c>
      <c r="K15" s="38">
        <f>'[2]valores86'!K47/'[2]valores86'!K$110</f>
        <v>0.04282232551284144</v>
      </c>
      <c r="L15" s="38">
        <f>'[2]valores86'!L47/'[2]valores86'!L$110</f>
        <v>0.021299989300195915</v>
      </c>
      <c r="M15" s="38">
        <f>'[2]valores86'!M47/'[2]valores86'!M$110</f>
        <v>0.2721774676491265</v>
      </c>
      <c r="N15" s="38">
        <f>'[2]valores86'!N47/'[2]valores86'!N$110</f>
        <v>0.06425968730291098</v>
      </c>
      <c r="O15" s="38">
        <f>'[2]valores86'!O47/'[2]valores86'!O$110</f>
        <v>0.00963953499915617</v>
      </c>
      <c r="P15" s="38">
        <f>'[2]valores86'!P47/'[2]valores86'!P$110</f>
        <v>0.022279030676565347</v>
      </c>
      <c r="Q15" s="38">
        <f>'[2]valores86'!Q47/'[2]valores86'!Q$110</f>
        <v>0.11874560212760063</v>
      </c>
      <c r="R15" s="38">
        <f>'[2]valores86'!R47/'[2]valores86'!R$110</f>
        <v>0.013814923296049081</v>
      </c>
      <c r="S15" s="38">
        <f>'[2]valores86'!S47/'[2]valores86'!S$110</f>
        <v>0.005529517511476358</v>
      </c>
      <c r="T15" s="38">
        <f>'[2]valores86'!T47/'[2]valores86'!T$110</f>
        <v>0.004963988635416199</v>
      </c>
      <c r="U15" s="38">
        <f>'[2]valores86'!V47/'[2]valores86'!V$110</f>
        <v>0.010873667415243312</v>
      </c>
      <c r="V15" s="38">
        <f>'[2]valores86'!W47/'[2]valores86'!W$110</f>
        <v>0.00043096640871141044</v>
      </c>
      <c r="W15" s="38">
        <f>'[2]valores86'!X47/'[2]valores86'!X$110</f>
        <v>0.0016096642775124132</v>
      </c>
      <c r="X15" s="38">
        <f>'[2]valores86'!Y47/'[2]valores86'!Y$110</f>
        <v>0.0143208825134067</v>
      </c>
      <c r="Y15" s="38">
        <f>'[2]valores86'!Z47/'[2]valores86'!Z$110</f>
        <v>0.02392965371783865</v>
      </c>
      <c r="Z15" s="39">
        <f>'[2]valores86'!AA47/'[2]valores86'!AA$110</f>
        <v>0.05160382096749626</v>
      </c>
    </row>
    <row r="16" spans="1:26" ht="15" customHeight="1">
      <c r="A16" s="76">
        <v>12</v>
      </c>
      <c r="B16" s="37" t="s">
        <v>35</v>
      </c>
      <c r="C16" s="38">
        <f>'[2]valores86'!C51/'[2]valores86'!C$110</f>
        <v>0</v>
      </c>
      <c r="D16" s="38">
        <f>'[2]valores86'!D51/'[2]valores86'!D$110</f>
        <v>0</v>
      </c>
      <c r="E16" s="38">
        <f>'[2]valores86'!E51/'[2]valores86'!E$110</f>
        <v>0</v>
      </c>
      <c r="F16" s="38">
        <f>'[2]valores86'!F51/'[2]valores86'!F$110</f>
        <v>0</v>
      </c>
      <c r="G16" s="38">
        <f>'[2]valores86'!G51/'[2]valores86'!G$110</f>
        <v>0</v>
      </c>
      <c r="H16" s="38">
        <f>'[2]valores86'!H51/'[2]valores86'!H$110</f>
        <v>0</v>
      </c>
      <c r="I16" s="38">
        <f>'[2]valores86'!I51/'[2]valores86'!I$110</f>
        <v>0</v>
      </c>
      <c r="J16" s="38">
        <f>'[2]valores86'!J51/'[2]valores86'!J$110</f>
        <v>0</v>
      </c>
      <c r="K16" s="38">
        <f>'[2]valores86'!K51/'[2]valores86'!K$110</f>
        <v>0</v>
      </c>
      <c r="L16" s="38">
        <f>'[2]valores86'!L51/'[2]valores86'!L$110</f>
        <v>0</v>
      </c>
      <c r="M16" s="38">
        <f>'[2]valores86'!M51/'[2]valores86'!M$110</f>
        <v>0</v>
      </c>
      <c r="N16" s="38">
        <f>'[2]valores86'!N51/'[2]valores86'!N$110</f>
        <v>0.50837794635469</v>
      </c>
      <c r="O16" s="38">
        <f>'[2]valores86'!O51/'[2]valores86'!O$110</f>
        <v>0</v>
      </c>
      <c r="P16" s="38">
        <f>'[2]valores86'!P51/'[2]valores86'!P$110</f>
        <v>0</v>
      </c>
      <c r="Q16" s="38">
        <f>'[2]valores86'!Q51/'[2]valores86'!Q$110</f>
        <v>0</v>
      </c>
      <c r="R16" s="38">
        <f>'[2]valores86'!R51/'[2]valores86'!R$110</f>
        <v>0.008929146971533929</v>
      </c>
      <c r="S16" s="38">
        <f>'[2]valores86'!S51/'[2]valores86'!S$110</f>
        <v>0.008767776315367083</v>
      </c>
      <c r="T16" s="38">
        <f>'[2]valores86'!T51/'[2]valores86'!T$110</f>
        <v>0</v>
      </c>
      <c r="U16" s="38">
        <f>'[2]valores86'!V51/'[2]valores86'!V$110</f>
        <v>0.00024911036461038516</v>
      </c>
      <c r="V16" s="38">
        <f>'[2]valores86'!W51/'[2]valores86'!W$110</f>
        <v>0.0005487460483592492</v>
      </c>
      <c r="W16" s="38">
        <f>'[2]valores86'!X51/'[2]valores86'!X$110</f>
        <v>6.816167950378298E-05</v>
      </c>
      <c r="X16" s="38">
        <f>'[2]valores86'!Y51/'[2]valores86'!Y$110</f>
        <v>0</v>
      </c>
      <c r="Y16" s="38">
        <f>'[2]valores86'!Z51/'[2]valores86'!Z$110</f>
        <v>0.0001724942273238697</v>
      </c>
      <c r="Z16" s="39">
        <f>'[2]valores86'!AA51/'[2]valores86'!AA$110</f>
        <v>0.05471829494281384</v>
      </c>
    </row>
    <row r="17" spans="1:26" ht="15" customHeight="1">
      <c r="A17" s="76">
        <v>13</v>
      </c>
      <c r="B17" s="37" t="s">
        <v>67</v>
      </c>
      <c r="C17" s="38">
        <f>'[2]valores86'!C55/'[2]valores86'!C$110</f>
        <v>0.00013589161390421876</v>
      </c>
      <c r="D17" s="38">
        <f>'[2]valores86'!D55/'[2]valores86'!D$110</f>
        <v>0.0035936159582190294</v>
      </c>
      <c r="E17" s="38">
        <f>'[2]valores86'!E55/'[2]valores86'!E$110</f>
        <v>0.0005350600003877246</v>
      </c>
      <c r="F17" s="38">
        <f>'[2]valores86'!F55/'[2]valores86'!F$110</f>
        <v>0.005483812128964622</v>
      </c>
      <c r="G17" s="38">
        <f>'[2]valores86'!G55/'[2]valores86'!G$110</f>
        <v>0.0014644774052057483</v>
      </c>
      <c r="H17" s="38">
        <f>'[2]valores86'!H55/'[2]valores86'!H$110</f>
        <v>0.0037544179331775226</v>
      </c>
      <c r="I17" s="38">
        <f>'[2]valores86'!I55/'[2]valores86'!I$110</f>
        <v>0</v>
      </c>
      <c r="J17" s="38">
        <f>'[2]valores86'!J55/'[2]valores86'!J$110</f>
        <v>0.0005747201847502328</v>
      </c>
      <c r="K17" s="38">
        <f>'[2]valores86'!K55/'[2]valores86'!K$110</f>
        <v>0.022444215169683795</v>
      </c>
      <c r="L17" s="38">
        <f>'[2]valores86'!L55/'[2]valores86'!L$110</f>
        <v>0.0015053517468352562</v>
      </c>
      <c r="M17" s="38">
        <f>'[2]valores86'!M55/'[2]valores86'!M$110</f>
        <v>0.0026901346108782254</v>
      </c>
      <c r="N17" s="38">
        <f>'[2]valores86'!N55/'[2]valores86'!N$110</f>
        <v>0.02080534098112623</v>
      </c>
      <c r="O17" s="38">
        <f>'[2]valores86'!O55/'[2]valores86'!O$110</f>
        <v>0.26078367136234126</v>
      </c>
      <c r="P17" s="38">
        <f>'[2]valores86'!P55/'[2]valores86'!P$110</f>
        <v>0.0003712004482420507</v>
      </c>
      <c r="Q17" s="38">
        <f>'[2]valores86'!Q55/'[2]valores86'!Q$110</f>
        <v>0.014305897997063468</v>
      </c>
      <c r="R17" s="38">
        <f>'[2]valores86'!R55/'[2]valores86'!R$110</f>
        <v>0.000572200082827728</v>
      </c>
      <c r="S17" s="38">
        <f>'[2]valores86'!S55/'[2]valores86'!S$110</f>
        <v>0.0005076081024686206</v>
      </c>
      <c r="T17" s="38">
        <f>'[2]valores86'!T55/'[2]valores86'!T$110</f>
        <v>0.0006007238615641481</v>
      </c>
      <c r="U17" s="38">
        <f>'[2]valores86'!V55/'[2]valores86'!V$110</f>
        <v>0.00041227765343018746</v>
      </c>
      <c r="V17" s="38">
        <f>'[2]valores86'!W55/'[2]valores86'!W$110</f>
        <v>0.0024680188126206238</v>
      </c>
      <c r="W17" s="38">
        <f>'[2]valores86'!X55/'[2]valores86'!X$110</f>
        <v>7.86480917351342E-05</v>
      </c>
      <c r="X17" s="38">
        <f>'[2]valores86'!Y55/'[2]valores86'!Y$110</f>
        <v>0.0023872573154666062</v>
      </c>
      <c r="Y17" s="38">
        <f>'[2]valores86'!Z55/'[2]valores86'!Z$110</f>
        <v>0.0031048960918296543</v>
      </c>
      <c r="Z17" s="39">
        <f>'[2]valores86'!AA55/'[2]valores86'!AA$110</f>
        <v>0.012461287743112278</v>
      </c>
    </row>
    <row r="18" spans="1:26" ht="15" customHeight="1">
      <c r="A18" s="76">
        <v>14</v>
      </c>
      <c r="B18" s="37" t="s">
        <v>37</v>
      </c>
      <c r="C18" s="38">
        <f>'[2]valores86'!C59/'[2]valores86'!C$110</f>
        <v>0.028872350278445855</v>
      </c>
      <c r="D18" s="38">
        <f>'[2]valores86'!D59/'[2]valores86'!D$110</f>
        <v>0.024197516898102324</v>
      </c>
      <c r="E18" s="38">
        <f>'[2]valores86'!E59/'[2]valores86'!E$110</f>
        <v>0.011337068414012368</v>
      </c>
      <c r="F18" s="38">
        <f>'[2]valores86'!F59/'[2]valores86'!F$110</f>
        <v>0.013309312386627054</v>
      </c>
      <c r="G18" s="38">
        <f>'[2]valores86'!G59/'[2]valores86'!G$110</f>
        <v>0.030003751370693135</v>
      </c>
      <c r="H18" s="38">
        <f>'[2]valores86'!H59/'[2]valores86'!H$110</f>
        <v>0.031630861051325045</v>
      </c>
      <c r="I18" s="38">
        <f>'[2]valores86'!I59/'[2]valores86'!I$110</f>
        <v>0.09347151904646253</v>
      </c>
      <c r="J18" s="38">
        <f>'[2]valores86'!J59/'[2]valores86'!J$110</f>
        <v>0.08331868103029746</v>
      </c>
      <c r="K18" s="38">
        <f>'[2]valores86'!K59/'[2]valores86'!K$110</f>
        <v>0.028176669070542348</v>
      </c>
      <c r="L18" s="38">
        <f>'[2]valores86'!L59/'[2]valores86'!L$110</f>
        <v>0.01705696354318478</v>
      </c>
      <c r="M18" s="38">
        <f>'[2]valores86'!M59/'[2]valores86'!M$110</f>
        <v>0.008840055198271147</v>
      </c>
      <c r="N18" s="38">
        <f>'[2]valores86'!N59/'[2]valores86'!N$110</f>
        <v>0.006982697298701047</v>
      </c>
      <c r="O18" s="38">
        <f>'[2]valores86'!O59/'[2]valores86'!O$110</f>
        <v>0.013726327214727012</v>
      </c>
      <c r="P18" s="38">
        <f>'[2]valores86'!P59/'[2]valores86'!P$110</f>
        <v>0.004524443199327636</v>
      </c>
      <c r="Q18" s="38">
        <f>'[2]valores86'!Q59/'[2]valores86'!Q$110</f>
        <v>0.010920575117045738</v>
      </c>
      <c r="R18" s="38">
        <f>'[2]valores86'!R59/'[2]valores86'!R$110</f>
        <v>0.019516614553485252</v>
      </c>
      <c r="S18" s="38">
        <f>'[2]valores86'!S59/'[2]valores86'!S$110</f>
        <v>0.09386536547783378</v>
      </c>
      <c r="T18" s="38">
        <f>'[2]valores86'!T59/'[2]valores86'!T$110</f>
        <v>0.005244041396501265</v>
      </c>
      <c r="U18" s="38">
        <f>'[2]valores86'!V59/'[2]valores86'!V$110</f>
        <v>0.03060445384420887</v>
      </c>
      <c r="V18" s="38">
        <f>'[2]valores86'!W59/'[2]valores86'!W$110</f>
        <v>0.034067760768137396</v>
      </c>
      <c r="W18" s="38">
        <f>'[2]valores86'!X59/'[2]valores86'!X$110</f>
        <v>0.023851344620208364</v>
      </c>
      <c r="X18" s="38">
        <f>'[2]valores86'!Y59/'[2]valores86'!Y$110</f>
        <v>0.013038097646009926</v>
      </c>
      <c r="Y18" s="38">
        <f>'[2]valores86'!Z59/'[2]valores86'!Z$110</f>
        <v>0.031390029049596015</v>
      </c>
      <c r="Z18" s="39">
        <f>'[2]valores86'!AA59/'[2]valores86'!AA$110</f>
        <v>0.026636532526190297</v>
      </c>
    </row>
    <row r="19" spans="1:26" ht="15" customHeight="1">
      <c r="A19" s="76">
        <v>15</v>
      </c>
      <c r="B19" s="37" t="s">
        <v>38</v>
      </c>
      <c r="C19" s="38">
        <f>'[2]valores86'!C63/'[2]valores86'!C$110</f>
        <v>0.01799838249399371</v>
      </c>
      <c r="D19" s="38">
        <f>'[2]valores86'!D63/'[2]valores86'!D$110</f>
        <v>0.004487306390640761</v>
      </c>
      <c r="E19" s="38">
        <f>'[2]valores86'!E63/'[2]valores86'!E$110</f>
        <v>0.002310838842254231</v>
      </c>
      <c r="F19" s="38">
        <f>'[2]valores86'!F63/'[2]valores86'!F$110</f>
        <v>0.002443808634436333</v>
      </c>
      <c r="G19" s="38">
        <f>'[2]valores86'!G63/'[2]valores86'!G$110</f>
        <v>0.0011109828591216021</v>
      </c>
      <c r="H19" s="38">
        <f>'[2]valores86'!H63/'[2]valores86'!H$110</f>
        <v>0.0012566076435195576</v>
      </c>
      <c r="I19" s="38">
        <f>'[2]valores86'!I63/'[2]valores86'!I$110</f>
        <v>0.0032833896911838886</v>
      </c>
      <c r="J19" s="38">
        <f>'[2]valores86'!J63/'[2]valores86'!J$110</f>
        <v>0.00743724659169936</v>
      </c>
      <c r="K19" s="38">
        <f>'[2]valores86'!K63/'[2]valores86'!K$110</f>
        <v>0.003380779171557764</v>
      </c>
      <c r="L19" s="38">
        <f>'[2]valores86'!L63/'[2]valores86'!L$110</f>
        <v>0.0018226562817073935</v>
      </c>
      <c r="M19" s="38">
        <f>'[2]valores86'!M63/'[2]valores86'!M$110</f>
        <v>0.000790480901918921</v>
      </c>
      <c r="N19" s="38">
        <f>'[2]valores86'!N63/'[2]valores86'!N$110</f>
        <v>0.0021832018465677678</v>
      </c>
      <c r="O19" s="38">
        <f>'[2]valores86'!O63/'[2]valores86'!O$110</f>
        <v>0.006555413262385297</v>
      </c>
      <c r="P19" s="38">
        <f>'[2]valores86'!P63/'[2]valores86'!P$110</f>
        <v>0.05007704160246533</v>
      </c>
      <c r="Q19" s="38">
        <f>'[2]valores86'!Q63/'[2]valores86'!Q$110</f>
        <v>0.00012632628750311662</v>
      </c>
      <c r="R19" s="38">
        <f>'[2]valores86'!R63/'[2]valores86'!R$110</f>
        <v>0.018403120256501048</v>
      </c>
      <c r="S19" s="38">
        <f>'[2]valores86'!S63/'[2]valores86'!S$110</f>
        <v>0.016861416968957658</v>
      </c>
      <c r="T19" s="38">
        <f>'[2]valores86'!T63/'[2]valores86'!T$110</f>
        <v>0.018628853130498172</v>
      </c>
      <c r="U19" s="38">
        <f>'[2]valores86'!V63/'[2]valores86'!V$110</f>
        <v>0.06916051052678124</v>
      </c>
      <c r="V19" s="38">
        <f>'[2]valores86'!W63/'[2]valores86'!W$110</f>
        <v>0.020118903899844477</v>
      </c>
      <c r="W19" s="38">
        <f>'[2]valores86'!X63/'[2]valores86'!X$110</f>
        <v>0.016059940332314403</v>
      </c>
      <c r="X19" s="38">
        <f>'[2]valores86'!Y63/'[2]valores86'!Y$110</f>
        <v>0.005181705678052934</v>
      </c>
      <c r="Y19" s="38">
        <f>'[2]valores86'!Z63/'[2]valores86'!Z$110</f>
        <v>0.021499053241911394</v>
      </c>
      <c r="Z19" s="39">
        <f>'[2]valores86'!AA63/'[2]valores86'!AA$110</f>
        <v>0.012657166609484453</v>
      </c>
    </row>
    <row r="20" spans="1:26" ht="15" customHeight="1">
      <c r="A20" s="76">
        <v>16</v>
      </c>
      <c r="B20" s="37" t="s">
        <v>112</v>
      </c>
      <c r="C20" s="38">
        <f>'[2]valores86'!C67/'[2]valores86'!C$110</f>
        <v>0.03891909435495679</v>
      </c>
      <c r="D20" s="38">
        <f>'[2]valores86'!D67/'[2]valores86'!D$110</f>
        <v>0.04800475126559009</v>
      </c>
      <c r="E20" s="38">
        <f>'[2]valores86'!E67/'[2]valores86'!E$110</f>
        <v>0.026330380164007523</v>
      </c>
      <c r="F20" s="38">
        <f>'[2]valores86'!F67/'[2]valores86'!F$110</f>
        <v>0.03859919000139899</v>
      </c>
      <c r="G20" s="38">
        <f>'[2]valores86'!G67/'[2]valores86'!G$110</f>
        <v>0.06064235008945576</v>
      </c>
      <c r="H20" s="38">
        <f>'[2]valores86'!H67/'[2]valores86'!H$110</f>
        <v>0.05436203504416832</v>
      </c>
      <c r="I20" s="38">
        <f>'[2]valores86'!I67/'[2]valores86'!I$110</f>
        <v>0.04862265772413922</v>
      </c>
      <c r="J20" s="38">
        <f>'[2]valores86'!J67/'[2]valores86'!J$110</f>
        <v>0.023505793126976423</v>
      </c>
      <c r="K20" s="38">
        <f>'[2]valores86'!K67/'[2]valores86'!K$110</f>
        <v>0.05405693500586932</v>
      </c>
      <c r="L20" s="38">
        <f>'[2]valores86'!L67/'[2]valores86'!L$110</f>
        <v>0.04160747953201271</v>
      </c>
      <c r="M20" s="38">
        <f>'[2]valores86'!M67/'[2]valores86'!M$110</f>
        <v>0.044474184393469944</v>
      </c>
      <c r="N20" s="38">
        <f>'[2]valores86'!N67/'[2]valores86'!N$110</f>
        <v>0.0294671761610811</v>
      </c>
      <c r="O20" s="38">
        <f>'[2]valores86'!O67/'[2]valores86'!O$110</f>
        <v>0.05141416247232729</v>
      </c>
      <c r="P20" s="38">
        <f>'[2]valores86'!P67/'[2]valores86'!P$110</f>
        <v>0.008257459027875053</v>
      </c>
      <c r="Q20" s="38">
        <f>'[2]valores86'!Q67/'[2]valores86'!Q$110</f>
        <v>0.054229437349364217</v>
      </c>
      <c r="R20" s="38">
        <f>'[2]valores86'!R67/'[2]valores86'!R$110</f>
        <v>0.0748619611451419</v>
      </c>
      <c r="S20" s="38">
        <f>'[2]valores86'!S67/'[2]valores86'!S$110</f>
        <v>0.09302670861288563</v>
      </c>
      <c r="T20" s="38">
        <f>'[2]valores86'!T67/'[2]valores86'!T$110</f>
        <v>0.01702335982076623</v>
      </c>
      <c r="U20" s="38">
        <f>'[2]valores86'!V67/'[2]valores86'!V$110</f>
        <v>0.017024202317473723</v>
      </c>
      <c r="V20" s="38">
        <f>'[2]valores86'!W67/'[2]valores86'!W$110</f>
        <v>0.026612844940427594</v>
      </c>
      <c r="W20" s="38">
        <f>'[2]valores86'!X67/'[2]valores86'!X$110</f>
        <v>0.028129800810599667</v>
      </c>
      <c r="X20" s="38">
        <f>'[2]valores86'!Y67/'[2]valores86'!Y$110</f>
        <v>0.03041424370251101</v>
      </c>
      <c r="Y20" s="38">
        <f>'[2]valores86'!Z67/'[2]valores86'!Z$110</f>
        <v>0.023263198748632787</v>
      </c>
      <c r="Z20" s="39">
        <f>'[2]valores86'!AA67/'[2]valores86'!AA$110</f>
        <v>0.04357405938692781</v>
      </c>
    </row>
    <row r="21" spans="1:26" ht="15" customHeight="1">
      <c r="A21" s="76">
        <v>17</v>
      </c>
      <c r="B21" s="37" t="s">
        <v>70</v>
      </c>
      <c r="C21" s="38">
        <f>'[2]valores86'!C71/'[2]valores86'!C$110</f>
        <v>0.006095332584830006</v>
      </c>
      <c r="D21" s="38">
        <f>'[2]valores86'!D71/'[2]valores86'!D$110</f>
        <v>0.030238411719788454</v>
      </c>
      <c r="E21" s="38">
        <f>'[2]valores86'!E71/'[2]valores86'!E$110</f>
        <v>0.029362386832871294</v>
      </c>
      <c r="F21" s="38">
        <f>'[2]valores86'!F71/'[2]valores86'!F$110</f>
        <v>0.03162193926250106</v>
      </c>
      <c r="G21" s="38">
        <f>'[2]valores86'!G71/'[2]valores86'!G$110</f>
        <v>0.03141772955502972</v>
      </c>
      <c r="H21" s="38">
        <f>'[2]valores86'!H71/'[2]valores86'!H$110</f>
        <v>0.052553048208838944</v>
      </c>
      <c r="I21" s="38">
        <f>'[2]valores86'!I71/'[2]valores86'!I$110</f>
        <v>0.05248519438787902</v>
      </c>
      <c r="J21" s="38">
        <f>'[2]valores86'!J71/'[2]valores86'!J$110</f>
        <v>0.0638884150581937</v>
      </c>
      <c r="K21" s="38">
        <f>'[2]valores86'!K71/'[2]valores86'!K$110</f>
        <v>0.07319143448210516</v>
      </c>
      <c r="L21" s="38">
        <f>'[2]valores86'!L71/'[2]valores86'!L$110</f>
        <v>0.02998527854541698</v>
      </c>
      <c r="M21" s="38">
        <f>'[2]valores86'!M71/'[2]valores86'!M$110</f>
        <v>0.025071471346369154</v>
      </c>
      <c r="N21" s="38">
        <f>'[2]valores86'!N71/'[2]valores86'!N$110</f>
        <v>0.01716075688632027</v>
      </c>
      <c r="O21" s="38">
        <f>'[2]valores86'!O71/'[2]valores86'!O$110</f>
        <v>0.03148650034911464</v>
      </c>
      <c r="P21" s="38">
        <f>'[2]valores86'!P71/'[2]valores86'!P$110</f>
        <v>0.005154783583134892</v>
      </c>
      <c r="Q21" s="38">
        <f>'[2]valores86'!Q71/'[2]valores86'!Q$110</f>
        <v>0.0524464636950439</v>
      </c>
      <c r="R21" s="38">
        <f>'[2]valores86'!R71/'[2]valores86'!R$110</f>
        <v>0.06676638960291256</v>
      </c>
      <c r="S21" s="38">
        <f>'[2]valores86'!S71/'[2]valores86'!S$110</f>
        <v>0.17016909569516228</v>
      </c>
      <c r="T21" s="38">
        <f>'[2]valores86'!T71/'[2]valores86'!T$110</f>
        <v>0.02738317417357713</v>
      </c>
      <c r="U21" s="38">
        <f>'[2]valores86'!V71/'[2]valores86'!V$110</f>
        <v>0.01216530465574816</v>
      </c>
      <c r="V21" s="38">
        <f>'[2]valores86'!W71/'[2]valores86'!W$110</f>
        <v>0.02474978518599814</v>
      </c>
      <c r="W21" s="38">
        <f>'[2]valores86'!X71/'[2]valores86'!X$110</f>
        <v>0.040388416709049246</v>
      </c>
      <c r="X21" s="38">
        <f>'[2]valores86'!Y71/'[2]valores86'!Y$110</f>
        <v>0.008638837509481165</v>
      </c>
      <c r="Y21" s="38">
        <f>'[2]valores86'!Z71/'[2]valores86'!Z$110</f>
        <v>0.031742858150940294</v>
      </c>
      <c r="Z21" s="39">
        <f>'[2]valores86'!AA71/'[2]valores86'!AA$110</f>
        <v>0.04126277355978219</v>
      </c>
    </row>
    <row r="22" spans="1:26" ht="15" customHeight="1">
      <c r="A22" s="76">
        <v>18</v>
      </c>
      <c r="B22" s="37" t="s">
        <v>40</v>
      </c>
      <c r="C22" s="38">
        <f>'[2]valores86'!C75/'[2]valores86'!C$110</f>
        <v>0.005458093269143232</v>
      </c>
      <c r="D22" s="38">
        <f>'[2]valores86'!D75/'[2]valores86'!D$110</f>
        <v>0.0024453934406138936</v>
      </c>
      <c r="E22" s="38">
        <f>'[2]valores86'!E75/'[2]valores86'!E$110</f>
        <v>0.003613593625806952</v>
      </c>
      <c r="F22" s="38">
        <f>'[2]valores86'!F75/'[2]valores86'!F$110</f>
        <v>0.0022135947775691425</v>
      </c>
      <c r="G22" s="38">
        <f>'[2]valores86'!G75/'[2]valores86'!G$110</f>
        <v>0.0031165233450683905</v>
      </c>
      <c r="H22" s="38">
        <f>'[2]valores86'!H75/'[2]valores86'!H$110</f>
        <v>0.0024273874444869915</v>
      </c>
      <c r="I22" s="38">
        <f>'[2]valores86'!I75/'[2]valores86'!I$110</f>
        <v>0.0028793879724251315</v>
      </c>
      <c r="J22" s="38">
        <f>'[2]valores86'!J75/'[2]valores86'!J$110</f>
        <v>0.0042723491359515035</v>
      </c>
      <c r="K22" s="38">
        <f>'[2]valores86'!K75/'[2]valores86'!K$110</f>
        <v>0.0035400140021371687</v>
      </c>
      <c r="L22" s="38">
        <f>'[2]valores86'!L75/'[2]valores86'!L$110</f>
        <v>0.005198628949242344</v>
      </c>
      <c r="M22" s="38">
        <f>'[2]valores86'!M75/'[2]valores86'!M$110</f>
        <v>0.002953628244851199</v>
      </c>
      <c r="N22" s="38">
        <f>'[2]valores86'!N75/'[2]valores86'!N$110</f>
        <v>0.000991997883737848</v>
      </c>
      <c r="O22" s="38">
        <f>'[2]valores86'!O75/'[2]valores86'!O$110</f>
        <v>0.004864440936752341</v>
      </c>
      <c r="P22" s="38">
        <f>'[2]valores86'!P75/'[2]valores86'!P$110</f>
        <v>0.005119764672923378</v>
      </c>
      <c r="Q22" s="38">
        <f>'[2]valores86'!Q75/'[2]valores86'!Q$110</f>
        <v>0.0037421392359475855</v>
      </c>
      <c r="R22" s="38">
        <f>'[2]valores86'!R75/'[2]valores86'!R$110</f>
        <v>0.005014697948115227</v>
      </c>
      <c r="S22" s="38">
        <f>'[2]valores86'!S75/'[2]valores86'!S$110</f>
        <v>0.007341257102500722</v>
      </c>
      <c r="T22" s="38">
        <f>'[2]valores86'!T75/'[2]valores86'!T$110</f>
        <v>0.05870205165370086</v>
      </c>
      <c r="U22" s="38">
        <f>'[2]valores86'!V75/'[2]valores86'!V$110</f>
        <v>0.0043532036215664805</v>
      </c>
      <c r="V22" s="38">
        <f>'[2]valores86'!W75/'[2]valores86'!W$110</f>
        <v>0.0021039726537091215</v>
      </c>
      <c r="W22" s="38">
        <f>'[2]valores86'!X75/'[2]valores86'!X$110</f>
        <v>0.001017181986441069</v>
      </c>
      <c r="X22" s="38">
        <f>'[2]valores86'!Y75/'[2]valores86'!Y$110</f>
        <v>0.0005695351900890231</v>
      </c>
      <c r="Y22" s="38">
        <f>'[2]valores86'!Z75/'[2]valores86'!Z$110</f>
        <v>0.006147067010086993</v>
      </c>
      <c r="Z22" s="39">
        <f>'[2]valores86'!AA75/'[2]valores86'!AA$110</f>
        <v>0.03581411882488588</v>
      </c>
    </row>
    <row r="23" spans="1:26" ht="15" customHeight="1">
      <c r="A23" s="76">
        <v>19</v>
      </c>
      <c r="B23" s="37" t="s">
        <v>71</v>
      </c>
      <c r="C23" s="38">
        <f>'[2]valores86'!C79/'[2]valores86'!C$110</f>
        <v>0.00023352248214608462</v>
      </c>
      <c r="D23" s="38">
        <f>'[2]valores86'!D79/'[2]valores86'!D$110</f>
        <v>0.022862637518029354</v>
      </c>
      <c r="E23" s="38">
        <f>'[2]valores86'!E79/'[2]valores86'!E$110</f>
        <v>0.04192078785646434</v>
      </c>
      <c r="F23" s="38">
        <f>'[2]valores86'!F79/'[2]valores86'!F$110</f>
        <v>0.05435998481769128</v>
      </c>
      <c r="G23" s="38">
        <f>'[2]valores86'!G79/'[2]valores86'!G$110</f>
        <v>0.058773878917296705</v>
      </c>
      <c r="H23" s="38">
        <f>'[2]valores86'!H79/'[2]valores86'!H$110</f>
        <v>0.04563840509861399</v>
      </c>
      <c r="I23" s="38">
        <f>'[2]valores86'!I79/'[2]valores86'!I$110</f>
        <v>0.037880415491247404</v>
      </c>
      <c r="J23" s="38">
        <f>'[2]valores86'!J79/'[2]valores86'!J$110</f>
        <v>0.03335476506016192</v>
      </c>
      <c r="K23" s="38">
        <f>'[2]valores86'!K79/'[2]valores86'!K$110</f>
        <v>0.020686052081633516</v>
      </c>
      <c r="L23" s="38">
        <f>'[2]valores86'!L79/'[2]valores86'!L$110</f>
        <v>0.03281519224596267</v>
      </c>
      <c r="M23" s="38">
        <f>'[2]valores86'!M79/'[2]valores86'!M$110</f>
        <v>0.028931184419506862</v>
      </c>
      <c r="N23" s="38">
        <f>'[2]valores86'!N79/'[2]valores86'!N$110</f>
        <v>0.009284454989910656</v>
      </c>
      <c r="O23" s="38">
        <f>'[2]valores86'!O79/'[2]valores86'!O$110</f>
        <v>0.03445480206358188</v>
      </c>
      <c r="P23" s="38">
        <f>'[2]valores86'!P79/'[2]valores86'!P$110</f>
        <v>0.037267124247093435</v>
      </c>
      <c r="Q23" s="38">
        <f>'[2]valores86'!Q79/'[2]valores86'!Q$110</f>
        <v>0.028045543951020862</v>
      </c>
      <c r="R23" s="38">
        <f>'[2]valores86'!R79/'[2]valores86'!R$110</f>
        <v>0.10187280733899587</v>
      </c>
      <c r="S23" s="38">
        <f>'[2]valores86'!S79/'[2]valores86'!S$110</f>
        <v>0.039559323938236336</v>
      </c>
      <c r="T23" s="38">
        <f>'[2]valores86'!T79/'[2]valores86'!T$110</f>
        <v>0.12719312310135986</v>
      </c>
      <c r="U23" s="38">
        <f>'[2]valores86'!V79/'[2]valores86'!V$110</f>
        <v>0.03753719529131589</v>
      </c>
      <c r="V23" s="38">
        <f>'[2]valores86'!W79/'[2]valores86'!W$110</f>
        <v>0.14761001019864606</v>
      </c>
      <c r="W23" s="38">
        <f>'[2]valores86'!X79/'[2]valores86'!X$110</f>
        <v>0.03596315074741903</v>
      </c>
      <c r="X23" s="38">
        <f>'[2]valores86'!Y79/'[2]valores86'!Y$110</f>
        <v>0.026366285645850245</v>
      </c>
      <c r="Y23" s="38">
        <f>'[2]valores86'!Z79/'[2]valores86'!Z$110</f>
        <v>0.11491251798448336</v>
      </c>
      <c r="Z23" s="39">
        <f>'[2]valores86'!AA79/'[2]valores86'!AA$110</f>
        <v>0.0441810294845434</v>
      </c>
    </row>
    <row r="24" spans="1:26" ht="15" customHeight="1">
      <c r="A24" s="76">
        <v>20</v>
      </c>
      <c r="B24" s="37" t="s">
        <v>43</v>
      </c>
      <c r="C24" s="38">
        <f>'[2]valores86'!C83/'[2]valores86'!C$110</f>
        <v>0</v>
      </c>
      <c r="D24" s="38">
        <f>'[2]valores86'!D83/'[2]valores86'!D$110</f>
        <v>0</v>
      </c>
      <c r="E24" s="38">
        <f>'[2]valores86'!E83/'[2]valores86'!E$110</f>
        <v>0</v>
      </c>
      <c r="F24" s="38">
        <f>'[2]valores86'!F83/'[2]valores86'!F$110</f>
        <v>0</v>
      </c>
      <c r="G24" s="38">
        <f>'[2]valores86'!G83/'[2]valores86'!G$110</f>
        <v>0</v>
      </c>
      <c r="H24" s="38">
        <f>'[2]valores86'!H83/'[2]valores86'!H$110</f>
        <v>0</v>
      </c>
      <c r="I24" s="38">
        <f>'[2]valores86'!I83/'[2]valores86'!I$110</f>
        <v>0</v>
      </c>
      <c r="J24" s="38">
        <f>'[2]valores86'!J83/'[2]valores86'!J$110</f>
        <v>0</v>
      </c>
      <c r="K24" s="38">
        <f>'[2]valores86'!K83/'[2]valores86'!K$110</f>
        <v>0</v>
      </c>
      <c r="L24" s="38">
        <f>'[2]valores86'!L83/'[2]valores86'!L$110</f>
        <v>0</v>
      </c>
      <c r="M24" s="38">
        <f>'[2]valores86'!M83/'[2]valores86'!M$110</f>
        <v>0</v>
      </c>
      <c r="N24" s="38">
        <f>'[2]valores86'!N83/'[2]valores86'!N$110</f>
        <v>0</v>
      </c>
      <c r="O24" s="38">
        <f>'[2]valores86'!O83/'[2]valores86'!O$110</f>
        <v>0</v>
      </c>
      <c r="P24" s="38">
        <f>'[2]valores86'!P83/'[2]valores86'!P$110</f>
        <v>0</v>
      </c>
      <c r="Q24" s="38">
        <f>'[2]valores86'!Q83/'[2]valores86'!Q$110</f>
        <v>0</v>
      </c>
      <c r="R24" s="38">
        <f>'[2]valores86'!R83/'[2]valores86'!R$110</f>
        <v>0</v>
      </c>
      <c r="S24" s="38">
        <f>'[2]valores86'!S83/'[2]valores86'!S$110</f>
        <v>0</v>
      </c>
      <c r="T24" s="38">
        <f>'[2]valores86'!T83/'[2]valores86'!T$110</f>
        <v>0</v>
      </c>
      <c r="U24" s="38">
        <f>'[2]valores86'!V83/'[2]valores86'!V$110</f>
        <v>0</v>
      </c>
      <c r="V24" s="38">
        <f>'[2]valores86'!W83/'[2]valores86'!W$110</f>
        <v>0</v>
      </c>
      <c r="W24" s="38">
        <f>'[2]valores86'!X83/'[2]valores86'!X$110</f>
        <v>0</v>
      </c>
      <c r="X24" s="38">
        <f>'[2]valores86'!Y83/'[2]valores86'!Y$110</f>
        <v>0</v>
      </c>
      <c r="Y24" s="38">
        <f>'[2]valores86'!Z83/'[2]valores86'!Z$110</f>
        <v>0</v>
      </c>
      <c r="Z24" s="39">
        <f>'[2]valores86'!AA83/'[2]valores86'!AA$110</f>
        <v>0</v>
      </c>
    </row>
    <row r="25" spans="1:26" ht="15" customHeight="1">
      <c r="A25" s="76">
        <v>21</v>
      </c>
      <c r="B25" s="37" t="s">
        <v>44</v>
      </c>
      <c r="C25" s="38">
        <f>'[2]valores86'!C87/'[2]valores86'!C$110</f>
        <v>0</v>
      </c>
      <c r="D25" s="38">
        <f>'[2]valores86'!D87/'[2]valores86'!D$110</f>
        <v>0</v>
      </c>
      <c r="E25" s="38">
        <f>'[2]valores86'!E87/'[2]valores86'!E$110</f>
        <v>0</v>
      </c>
      <c r="F25" s="38">
        <f>'[2]valores86'!F87/'[2]valores86'!F$110</f>
        <v>0</v>
      </c>
      <c r="G25" s="38">
        <f>'[2]valores86'!G87/'[2]valores86'!G$110</f>
        <v>0</v>
      </c>
      <c r="H25" s="38">
        <f>'[2]valores86'!H87/'[2]valores86'!H$110</f>
        <v>0</v>
      </c>
      <c r="I25" s="38">
        <f>'[2]valores86'!I87/'[2]valores86'!I$110</f>
        <v>0</v>
      </c>
      <c r="J25" s="38">
        <f>'[2]valores86'!J87/'[2]valores86'!J$110</f>
        <v>0</v>
      </c>
      <c r="K25" s="38">
        <f>'[2]valores86'!K87/'[2]valores86'!K$110</f>
        <v>0</v>
      </c>
      <c r="L25" s="38">
        <f>'[2]valores86'!L87/'[2]valores86'!L$110</f>
        <v>0</v>
      </c>
      <c r="M25" s="38">
        <f>'[2]valores86'!M87/'[2]valores86'!M$110</f>
        <v>1.5622152211836384E-05</v>
      </c>
      <c r="N25" s="38">
        <f>'[2]valores86'!N87/'[2]valores86'!N$110</f>
        <v>0</v>
      </c>
      <c r="O25" s="38">
        <f>'[2]valores86'!O87/'[2]valores86'!O$110</f>
        <v>0</v>
      </c>
      <c r="P25" s="38">
        <f>'[2]valores86'!P87/'[2]valores86'!P$110</f>
        <v>0</v>
      </c>
      <c r="Q25" s="38">
        <f>'[2]valores86'!Q87/'[2]valores86'!Q$110</f>
        <v>0</v>
      </c>
      <c r="R25" s="38">
        <f>'[2]valores86'!R87/'[2]valores86'!R$110</f>
        <v>0</v>
      </c>
      <c r="S25" s="38">
        <f>'[2]valores86'!S87/'[2]valores86'!S$110</f>
        <v>0</v>
      </c>
      <c r="T25" s="38">
        <f>'[2]valores86'!T87/'[2]valores86'!T$110</f>
        <v>0</v>
      </c>
      <c r="U25" s="38">
        <f>'[2]valores86'!V87/'[2]valores86'!V$110</f>
        <v>0</v>
      </c>
      <c r="V25" s="38">
        <f>'[2]valores86'!W87/'[2]valores86'!W$110</f>
        <v>0</v>
      </c>
      <c r="W25" s="38">
        <f>'[2]valores86'!X87/'[2]valores86'!X$110</f>
        <v>0.0008336697723924226</v>
      </c>
      <c r="X25" s="38">
        <f>'[2]valores86'!Y87/'[2]valores86'!Y$110</f>
        <v>0</v>
      </c>
      <c r="Y25" s="38">
        <f>'[2]valores86'!Z87/'[2]valores86'!Z$110</f>
        <v>0</v>
      </c>
      <c r="Z25" s="39">
        <f>'[2]valores86'!AA87/'[2]valores86'!AA$110</f>
        <v>1.475451201244955E-05</v>
      </c>
    </row>
    <row r="26" spans="1:26" ht="15" customHeight="1">
      <c r="A26" s="76">
        <v>22</v>
      </c>
      <c r="B26" s="37" t="s">
        <v>45</v>
      </c>
      <c r="C26" s="38">
        <f>'[2]valores86'!C91/'[2]valores86'!C$110</f>
        <v>0.0022758546988813333</v>
      </c>
      <c r="D26" s="38">
        <f>'[2]valores86'!D91/'[2]valores86'!D$110</f>
        <v>0.00018665686246782998</v>
      </c>
      <c r="E26" s="38">
        <f>'[2]valores86'!E91/'[2]valores86'!E$110</f>
        <v>0</v>
      </c>
      <c r="F26" s="38">
        <f>'[2]valores86'!F91/'[2]valores86'!F$110</f>
        <v>0</v>
      </c>
      <c r="G26" s="38">
        <f>'[2]valores86'!G91/'[2]valores86'!G$110</f>
        <v>0</v>
      </c>
      <c r="H26" s="38">
        <f>'[2]valores86'!H91/'[2]valores86'!H$110</f>
        <v>0</v>
      </c>
      <c r="I26" s="38">
        <f>'[2]valores86'!I91/'[2]valores86'!I$110</f>
        <v>0</v>
      </c>
      <c r="J26" s="38">
        <f>'[2]valores86'!J91/'[2]valores86'!J$110</f>
        <v>0</v>
      </c>
      <c r="K26" s="38">
        <f>'[2]valores86'!K91/'[2]valores86'!K$110</f>
        <v>0</v>
      </c>
      <c r="L26" s="38">
        <f>'[2]valores86'!L91/'[2]valores86'!L$110</f>
        <v>0</v>
      </c>
      <c r="M26" s="38">
        <f>'[2]valores86'!M91/'[2]valores86'!M$110</f>
        <v>1.5622152211836384E-05</v>
      </c>
      <c r="N26" s="38">
        <f>'[2]valores86'!N91/'[2]valores86'!N$110</f>
        <v>0</v>
      </c>
      <c r="O26" s="38">
        <f>'[2]valores86'!O91/'[2]valores86'!O$110</f>
        <v>0</v>
      </c>
      <c r="P26" s="38">
        <f>'[2]valores86'!P91/'[2]valores86'!P$110</f>
        <v>0</v>
      </c>
      <c r="Q26" s="38">
        <f>'[2]valores86'!Q91/'[2]valores86'!Q$110</f>
        <v>0</v>
      </c>
      <c r="R26" s="38">
        <f>'[2]valores86'!R91/'[2]valores86'!R$110</f>
        <v>0</v>
      </c>
      <c r="S26" s="38">
        <f>'[2]valores86'!S91/'[2]valores86'!S$110</f>
        <v>0</v>
      </c>
      <c r="T26" s="38">
        <f>'[2]valores86'!T91/'[2]valores86'!T$110</f>
        <v>0.007916300567160287</v>
      </c>
      <c r="U26" s="38">
        <f>'[2]valores86'!V91/'[2]valores86'!V$110</f>
        <v>0</v>
      </c>
      <c r="V26" s="38">
        <f>'[2]valores86'!W91/'[2]valores86'!W$110</f>
        <v>0</v>
      </c>
      <c r="W26" s="38">
        <f>'[2]valores86'!X91/'[2]valores86'!X$110</f>
        <v>0.0028575473330432095</v>
      </c>
      <c r="X26" s="38">
        <f>'[2]valores86'!Y91/'[2]valores86'!Y$110</f>
        <v>0.049616096022568494</v>
      </c>
      <c r="Y26" s="38">
        <f>'[2]valores86'!Z91/'[2]valores86'!Z$110</f>
        <v>3.920323348269766E-05</v>
      </c>
      <c r="Z26" s="39">
        <f>'[2]valores86'!AA91/'[2]valores86'!AA$110</f>
        <v>0.00209785417924139</v>
      </c>
    </row>
    <row r="27" spans="1:26" ht="15" customHeight="1">
      <c r="A27" s="76">
        <v>23</v>
      </c>
      <c r="B27" s="37" t="s">
        <v>72</v>
      </c>
      <c r="C27" s="38">
        <f>'[2]valores86'!C95/'[2]valores86'!C$110</f>
        <v>0.00012005958121634859</v>
      </c>
      <c r="D27" s="38">
        <f>'[2]valores86'!D95/'[2]valores86'!D$110</f>
        <v>8.861487410088898E-05</v>
      </c>
      <c r="E27" s="38">
        <f>'[2]valores86'!E95/'[2]valores86'!E$110</f>
        <v>1.5508985518484773E-05</v>
      </c>
      <c r="F27" s="38">
        <f>'[2]valores86'!F95/'[2]valores86'!F$110</f>
        <v>0.00012396130754387198</v>
      </c>
      <c r="G27" s="38">
        <f>'[2]valores86'!G95/'[2]valores86'!G$110</f>
        <v>0</v>
      </c>
      <c r="H27" s="38">
        <f>'[2]valores86'!H95/'[2]valores86'!H$110</f>
        <v>0.0006316048926271682</v>
      </c>
      <c r="I27" s="38">
        <f>'[2]valores86'!I95/'[2]valores86'!I$110</f>
        <v>0</v>
      </c>
      <c r="J27" s="38">
        <f>'[2]valores86'!J95/'[2]valores86'!J$110</f>
        <v>0</v>
      </c>
      <c r="K27" s="38">
        <f>'[2]valores86'!K95/'[2]valores86'!K$110</f>
        <v>0</v>
      </c>
      <c r="L27" s="38">
        <f>'[2]valores86'!L95/'[2]valores86'!L$110</f>
        <v>0</v>
      </c>
      <c r="M27" s="38">
        <f>'[2]valores86'!M95/'[2]valores86'!M$110</f>
        <v>4.2700549379019444E-05</v>
      </c>
      <c r="N27" s="38">
        <f>'[2]valores86'!N95/'[2]valores86'!N$110</f>
        <v>2.3388567990567147E-05</v>
      </c>
      <c r="O27" s="38">
        <f>'[2]valores86'!O95/'[2]valores86'!O$110</f>
        <v>0</v>
      </c>
      <c r="P27" s="38">
        <f>'[2]valores86'!P95/'[2]valores86'!P$110</f>
        <v>0</v>
      </c>
      <c r="Q27" s="38">
        <f>'[2]valores86'!Q95/'[2]valores86'!Q$110</f>
        <v>0.0010349890572623765</v>
      </c>
      <c r="R27" s="38">
        <f>'[2]valores86'!R95/'[2]valores86'!R$110</f>
        <v>0.0013024616082884242</v>
      </c>
      <c r="S27" s="38">
        <f>'[2]valores86'!S95/'[2]valores86'!S$110</f>
        <v>0.000495569965651183</v>
      </c>
      <c r="T27" s="38">
        <f>'[2]valores86'!T95/'[2]valores86'!T$110</f>
        <v>0.00038052970590184474</v>
      </c>
      <c r="U27" s="38">
        <f>'[2]valores86'!V95/'[2]valores86'!V$110</f>
        <v>0.010925980591811494</v>
      </c>
      <c r="V27" s="38">
        <f>'[2]valores86'!W95/'[2]valores86'!W$110</f>
        <v>0.039731890711201645</v>
      </c>
      <c r="W27" s="38">
        <f>'[2]valores86'!X95/'[2]valores86'!X$110</f>
        <v>0.0008913450396648543</v>
      </c>
      <c r="X27" s="38">
        <f>'[2]valores86'!Y95/'[2]valores86'!Y$110</f>
        <v>0.0072442747075809385</v>
      </c>
      <c r="Y27" s="38">
        <f>'[2]valores86'!Z95/'[2]valores86'!Z$110</f>
        <v>0.10019954445842694</v>
      </c>
      <c r="Z27" s="39">
        <f>'[2]valores86'!AA95/'[2]valores86'!AA$110</f>
        <v>0.00469939687201123</v>
      </c>
    </row>
    <row r="28" spans="1:26" ht="15" customHeight="1">
      <c r="A28" s="76"/>
      <c r="B28" s="37" t="s">
        <v>73</v>
      </c>
      <c r="C28" s="40">
        <f>'[2]valores86'!C99/'[2]valores86'!C$110</f>
        <v>0.5815039639451838</v>
      </c>
      <c r="D28" s="40">
        <f>'[2]valores86'!D99/'[2]valores86'!D$110</f>
        <v>0.7275790227853351</v>
      </c>
      <c r="E28" s="40">
        <f>'[2]valores86'!E99/'[2]valores86'!E$110</f>
        <v>0.6981718783320087</v>
      </c>
      <c r="F28" s="40">
        <f>'[2]valores86'!F99/'[2]valores86'!F$110</f>
        <v>0.5973559643392833</v>
      </c>
      <c r="G28" s="40">
        <f>'[2]valores86'!G99/'[2]valores86'!G$110</f>
        <v>0.6565042996479483</v>
      </c>
      <c r="H28" s="40">
        <f>'[2]valores86'!H99/'[2]valores86'!H$110</f>
        <v>0.6781345868599773</v>
      </c>
      <c r="I28" s="40">
        <f>'[2]valores86'!I99/'[2]valores86'!I$110</f>
        <v>0.6616987688456293</v>
      </c>
      <c r="J28" s="40">
        <f>'[2]valores86'!J99/'[2]valores86'!J$110</f>
        <v>0.4889346682237472</v>
      </c>
      <c r="K28" s="40">
        <f>'[2]valores86'!K99/'[2]valores86'!K$110</f>
        <v>0.8214569592200915</v>
      </c>
      <c r="L28" s="40">
        <f>'[2]valores86'!L99/'[2]valores86'!L$110</f>
        <v>0.572627687403379</v>
      </c>
      <c r="M28" s="40">
        <f>'[2]valores86'!M99/'[2]valores86'!M$110</f>
        <v>0.6587309605019918</v>
      </c>
      <c r="N28" s="40">
        <f>'[2]valores86'!N99/'[2]valores86'!N$110</f>
        <v>0.7519029422818533</v>
      </c>
      <c r="O28" s="40">
        <f>'[2]valores86'!O99/'[2]valores86'!O$110</f>
        <v>0.6649624577670562</v>
      </c>
      <c r="P28" s="40">
        <f>'[2]valores86'!P99/'[2]valores86'!P$110</f>
        <v>0.16224961479198766</v>
      </c>
      <c r="Q28" s="40">
        <f>'[2]valores86'!Q99/'[2]valores86'!Q$110</f>
        <v>0.5529102141452198</v>
      </c>
      <c r="R28" s="40">
        <f>'[2]valores86'!R99/'[2]valores86'!R$110</f>
        <v>0.41064892610936615</v>
      </c>
      <c r="S28" s="40">
        <f>'[2]valores86'!S99/'[2]valores86'!S$110</f>
        <v>0.45276837019678345</v>
      </c>
      <c r="T28" s="40">
        <f>'[2]valores86'!T99/'[2]valores86'!T$110</f>
        <v>0.27731850550164716</v>
      </c>
      <c r="U28" s="40">
        <f>'[2]valores86'!V99/'[2]valores86'!V$110</f>
        <v>0.2077019942530239</v>
      </c>
      <c r="V28" s="40">
        <f>'[2]valores86'!W99/'[2]valores86'!W$110</f>
        <v>0.3208424456406811</v>
      </c>
      <c r="W28" s="40">
        <f>'[2]valores86'!X99/'[2]valores86'!X$110</f>
        <v>0.17827425113908654</v>
      </c>
      <c r="X28" s="40">
        <f>'[2]valores86'!Y99/'[2]valores86'!Y$110</f>
        <v>0.25777854662071353</v>
      </c>
      <c r="Y28" s="40">
        <f>'[2]valores86'!Z99/'[2]valores86'!Z$110</f>
        <v>0.38199238673205765</v>
      </c>
      <c r="Z28" s="41">
        <f>'[2]valores86'!AA99/'[2]valores86'!AA$110</f>
        <v>0.5709978935220629</v>
      </c>
    </row>
    <row r="29" spans="1:26" ht="15" customHeight="1">
      <c r="A29" s="7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0" spans="1:26" ht="15" customHeight="1">
      <c r="A30" s="76"/>
      <c r="B30" s="37" t="s">
        <v>74</v>
      </c>
      <c r="C30" s="38">
        <f>'[2]valores86'!C101/'[2]valores86'!C$110</f>
        <v>0.019759108520194926</v>
      </c>
      <c r="D30" s="38">
        <f>'[2]valores86'!D101/'[2]valores86'!D$110</f>
        <v>0.10186031942672163</v>
      </c>
      <c r="E30" s="38">
        <f>'[2]valores86'!E101/'[2]valores86'!E$110</f>
        <v>0.09199430284427645</v>
      </c>
      <c r="F30" s="38">
        <f>'[2]valores86'!F101/'[2]valores86'!F$110</f>
        <v>0.18060892408249007</v>
      </c>
      <c r="G30" s="38">
        <f>'[2]valores86'!G101/'[2]valores86'!G$110</f>
        <v>0.15300686901992547</v>
      </c>
      <c r="H30" s="38">
        <f>'[2]valores86'!H101/'[2]valores86'!H$110</f>
        <v>0.16550651258880872</v>
      </c>
      <c r="I30" s="38">
        <f>'[2]valores86'!I101/'[2]valores86'!I$110</f>
        <v>0.13896146547192098</v>
      </c>
      <c r="J30" s="38">
        <f>'[2]valores86'!J101/'[2]valores86'!J$110</f>
        <v>0.15293270326925945</v>
      </c>
      <c r="K30" s="38">
        <f>'[2]valores86'!K101/'[2]valores86'!K$110</f>
        <v>0.08228995354307307</v>
      </c>
      <c r="L30" s="38">
        <f>'[2]valores86'!L101/'[2]valores86'!L$110</f>
        <v>0.1861202151941118</v>
      </c>
      <c r="M30" s="38">
        <f>'[2]valores86'!M101/'[2]valores86'!M$110</f>
        <v>0.12646786546694985</v>
      </c>
      <c r="N30" s="38">
        <f>'[2]valores86'!N101/'[2]valores86'!N$110</f>
        <v>0.15229203174743722</v>
      </c>
      <c r="O30" s="38">
        <f>'[2]valores86'!O101/'[2]valores86'!O$110</f>
        <v>0.12687568418119502</v>
      </c>
      <c r="P30" s="38">
        <f>'[2]valores86'!P101/'[2]valores86'!P$110</f>
        <v>0.09924850393491723</v>
      </c>
      <c r="Q30" s="38">
        <f>'[2]valores86'!Q101/'[2]valores86'!Q$110</f>
        <v>0.15857084321089565</v>
      </c>
      <c r="R30" s="38">
        <f>'[2]valores86'!R101/'[2]valores86'!R$110</f>
        <v>0.16381190459446068</v>
      </c>
      <c r="S30" s="38">
        <f>'[2]valores86'!S101/'[2]valores86'!S$110</f>
        <v>0.18243126088307235</v>
      </c>
      <c r="T30" s="38">
        <f>'[2]valores86'!T101/'[2]valores86'!T$110</f>
        <v>0.19474807247556078</v>
      </c>
      <c r="U30" s="38">
        <f>'[2]valores86'!V101/'[2]valores86'!V$110</f>
        <v>0.09335040631262233</v>
      </c>
      <c r="V30" s="38">
        <f>'[2]valores86'!W101/'[2]valores86'!W$110</f>
        <v>0.46147616465120356</v>
      </c>
      <c r="W30" s="38">
        <f>'[2]valores86'!X101/'[2]valores86'!X$110</f>
        <v>0.6251598674418112</v>
      </c>
      <c r="X30" s="38">
        <f>'[2]valores86'!Y101/'[2]valores86'!Y$110</f>
        <v>0.5761679620340071</v>
      </c>
      <c r="Y30" s="38">
        <f>'[2]valores86'!Z101/'[2]valores86'!Z$110</f>
        <v>0.32488734623468296</v>
      </c>
      <c r="Z30" s="39">
        <f>'[2]valores86'!AA101/'[2]valores86'!AA$110</f>
        <v>0.16873110147165252</v>
      </c>
    </row>
    <row r="31" spans="1:26" ht="15" customHeight="1">
      <c r="A31" s="76"/>
      <c r="B31" s="37" t="s">
        <v>75</v>
      </c>
      <c r="C31" s="38">
        <f>'[2]valores86'!C102/'[2]valores86'!C$110</f>
        <v>0.0033002491468303173</v>
      </c>
      <c r="D31" s="38">
        <f>'[2]valores86'!D102/'[2]valores86'!D$110</f>
        <v>0.030725681275419792</v>
      </c>
      <c r="E31" s="38">
        <f>'[2]valores86'!E102/'[2]valores86'!E$110</f>
        <v>0.02594746594310111</v>
      </c>
      <c r="F31" s="38">
        <f>'[2]valores86'!F102/'[2]valores86'!F$110</f>
        <v>0.04599904112843236</v>
      </c>
      <c r="G31" s="38">
        <f>'[2]valores86'!G102/'[2]valores86'!G$110</f>
        <v>0.055277159698943035</v>
      </c>
      <c r="H31" s="38">
        <f>'[2]valores86'!H102/'[2]valores86'!H$110</f>
        <v>0.04200705807103225</v>
      </c>
      <c r="I31" s="38">
        <f>'[2]valores86'!I102/'[2]valores86'!I$110</f>
        <v>0.02822410544378629</v>
      </c>
      <c r="J31" s="38">
        <f>'[2]valores86'!J102/'[2]valores86'!J$110</f>
        <v>0.04517651867603888</v>
      </c>
      <c r="K31" s="38">
        <f>'[2]valores86'!K102/'[2]valores86'!K$110</f>
        <v>0.028231717210491572</v>
      </c>
      <c r="L31" s="38">
        <f>'[2]valores86'!L102/'[2]valores86'!L$110</f>
        <v>0.05570145549628754</v>
      </c>
      <c r="M31" s="38">
        <f>'[2]valores86'!M102/'[2]valores86'!M$110</f>
        <v>0.03173825729378558</v>
      </c>
      <c r="N31" s="38">
        <f>'[2]valores86'!N102/'[2]valores86'!N$110</f>
        <v>0.045930016947374246</v>
      </c>
      <c r="O31" s="38">
        <f>'[2]valores86'!O102/'[2]valores86'!O$110</f>
        <v>0.03827562653149148</v>
      </c>
      <c r="P31" s="38">
        <f>'[2]valores86'!P102/'[2]valores86'!P$110</f>
        <v>0.028663872979755044</v>
      </c>
      <c r="Q31" s="38">
        <f>'[2]valores86'!Q102/'[2]valores86'!Q$110</f>
        <v>0.060960411720013555</v>
      </c>
      <c r="R31" s="38">
        <f>'[2]valores86'!R102/'[2]valores86'!R$110</f>
        <v>0.07012731244475386</v>
      </c>
      <c r="S31" s="38">
        <f>'[2]valores86'!S102/'[2]valores86'!S$110</f>
        <v>0.03574390763395859</v>
      </c>
      <c r="T31" s="38">
        <f>'[2]valores86'!T102/'[2]valores86'!T$110</f>
        <v>0.05685867616247356</v>
      </c>
      <c r="U31" s="38">
        <f>'[2]valores86'!V102/'[2]valores86'!V$110</f>
        <v>0.026149273755143244</v>
      </c>
      <c r="V31" s="38">
        <f>'[2]valores86'!W102/'[2]valores86'!W$110</f>
        <v>0.08824397304450009</v>
      </c>
      <c r="W31" s="38">
        <f>'[2]valores86'!X102/'[2]valores86'!X$110</f>
        <v>0.17389987331014262</v>
      </c>
      <c r="X31" s="38">
        <f>'[2]valores86'!Y102/'[2]valores86'!Y$110</f>
        <v>0.12680244017185163</v>
      </c>
      <c r="Y31" s="38">
        <f>'[2]valores86'!Z102/'[2]valores86'!Z$110</f>
        <v>0.08678543134184279</v>
      </c>
      <c r="Z31" s="39">
        <f>'[2]valores86'!AA102/'[2]valores86'!AA$110</f>
        <v>0.04788582510634279</v>
      </c>
    </row>
    <row r="32" spans="1:26" ht="15" customHeight="1">
      <c r="A32" s="76"/>
      <c r="B32" s="37" t="s">
        <v>76</v>
      </c>
      <c r="C32" s="38">
        <f>'[2]valores86'!C103/'[2]valores86'!C$110</f>
        <v>0.023059357667025243</v>
      </c>
      <c r="D32" s="38">
        <f>'[2]valores86'!D103/'[2]valores86'!D$110</f>
        <v>0.1325860007021414</v>
      </c>
      <c r="E32" s="38">
        <f>'[2]valores86'!E103/'[2]valores86'!E$110</f>
        <v>0.11794176878737757</v>
      </c>
      <c r="F32" s="38">
        <f>'[2]valores86'!F103/'[2]valores86'!F$110</f>
        <v>0.22660796521092244</v>
      </c>
      <c r="G32" s="38">
        <f>'[2]valores86'!G103/'[2]valores86'!G$110</f>
        <v>0.2082840287188685</v>
      </c>
      <c r="H32" s="38">
        <f>'[2]valores86'!H103/'[2]valores86'!H$110</f>
        <v>0.20751357065984097</v>
      </c>
      <c r="I32" s="38">
        <f>'[2]valores86'!I103/'[2]valores86'!I$110</f>
        <v>0.16718557091570727</v>
      </c>
      <c r="J32" s="38">
        <f>'[2]valores86'!J103/'[2]valores86'!J$110</f>
        <v>0.19810922194529834</v>
      </c>
      <c r="K32" s="38">
        <f>'[2]valores86'!K103/'[2]valores86'!K$110</f>
        <v>0.11052167075356464</v>
      </c>
      <c r="L32" s="38">
        <f>'[2]valores86'!L103/'[2]valores86'!L$110</f>
        <v>0.2418216706903993</v>
      </c>
      <c r="M32" s="38">
        <f>'[2]valores86'!M103/'[2]valores86'!M$110</f>
        <v>0.15820612276073542</v>
      </c>
      <c r="N32" s="38">
        <f>'[2]valores86'!N103/'[2]valores86'!N$110</f>
        <v>0.19822204869481147</v>
      </c>
      <c r="O32" s="38">
        <f>'[2]valores86'!O103/'[2]valores86'!O$110</f>
        <v>0.1651513107126865</v>
      </c>
      <c r="P32" s="38">
        <f>'[2]valores86'!P103/'[2]valores86'!P$110</f>
        <v>0.12791237691467225</v>
      </c>
      <c r="Q32" s="38">
        <f>'[2]valores86'!Q103/'[2]valores86'!Q$110</f>
        <v>0.2195312549309092</v>
      </c>
      <c r="R32" s="38">
        <f>'[2]valores86'!R103/'[2]valores86'!R$110</f>
        <v>0.23393921703921455</v>
      </c>
      <c r="S32" s="38">
        <f>'[2]valores86'!S103/'[2]valores86'!S$110</f>
        <v>0.21817516851703095</v>
      </c>
      <c r="T32" s="38">
        <f>'[2]valores86'!T103/'[2]valores86'!T$110</f>
        <v>0.25160674863803434</v>
      </c>
      <c r="U32" s="38">
        <f>'[2]valores86'!V103/'[2]valores86'!V$110</f>
        <v>0.11949968006776557</v>
      </c>
      <c r="V32" s="38">
        <f>'[2]valores86'!W103/'[2]valores86'!W$110</f>
        <v>0.5497201376957036</v>
      </c>
      <c r="W32" s="38">
        <f>'[2]valores86'!X103/'[2]valores86'!X$110</f>
        <v>0.7990597407519537</v>
      </c>
      <c r="X32" s="38">
        <f>'[2]valores86'!Y103/'[2]valores86'!Y$110</f>
        <v>0.7029704022058588</v>
      </c>
      <c r="Y32" s="38">
        <f>'[2]valores86'!Z103/'[2]valores86'!Z$110</f>
        <v>0.41167277757652576</v>
      </c>
      <c r="Z32" s="39">
        <f>'[2]valores86'!AA103/'[2]valores86'!AA$110</f>
        <v>0.21661692657799525</v>
      </c>
    </row>
    <row r="33" spans="1:26" ht="15" customHeight="1">
      <c r="A33" s="76"/>
      <c r="B33" s="37" t="s">
        <v>77</v>
      </c>
      <c r="C33" s="38">
        <f>'[2]valores86'!C104/'[2]valores86'!C$110</f>
        <v>0.4120273293086214</v>
      </c>
      <c r="D33" s="38">
        <f>'[2]valores86'!D104/'[2]valores86'!D$110</f>
        <v>0.12689343404808717</v>
      </c>
      <c r="E33" s="38">
        <f>'[2]valores86'!E104/'[2]valores86'!E$110</f>
        <v>0.16018474576198943</v>
      </c>
      <c r="F33" s="38">
        <f>'[2]valores86'!F104/'[2]valores86'!F$110</f>
        <v>0.15101949800355952</v>
      </c>
      <c r="G33" s="38">
        <f>'[2]valores86'!G104/'[2]valores86'!G$110</f>
        <v>0.14293805242616525</v>
      </c>
      <c r="H33" s="38">
        <f>'[2]valores86'!H104/'[2]valores86'!H$110</f>
        <v>0.09720387968104964</v>
      </c>
      <c r="I33" s="38">
        <f>'[2]valores86'!I104/'[2]valores86'!I$110</f>
        <v>0.22651994218982827</v>
      </c>
      <c r="J33" s="38">
        <f>'[2]valores86'!J104/'[2]valores86'!J$110</f>
        <v>0.30086074302038907</v>
      </c>
      <c r="K33" s="38">
        <f>'[2]valores86'!K104/'[2]valores86'!K$110</f>
        <v>0.06436160090368832</v>
      </c>
      <c r="L33" s="38">
        <f>'[2]valores86'!L104/'[2]valores86'!L$110</f>
        <v>0.17873597358170032</v>
      </c>
      <c r="M33" s="38">
        <f>'[2]valores86'!M104/'[2]valores86'!M$110</f>
        <v>0.17983329713667912</v>
      </c>
      <c r="N33" s="38">
        <f>'[2]valores86'!N104/'[2]valores86'!N$110</f>
        <v>0.04737001274131116</v>
      </c>
      <c r="O33" s="38">
        <f>'[2]valores86'!O104/'[2]valores86'!O$110</f>
        <v>0.16186486768985756</v>
      </c>
      <c r="P33" s="38">
        <f>'[2]valores86'!P104/'[2]valores86'!P$110</f>
        <v>0.7061890378493003</v>
      </c>
      <c r="Q33" s="38">
        <f>'[2]valores86'!Q104/'[2]valores86'!Q$110</f>
        <v>0.21903815526938444</v>
      </c>
      <c r="R33" s="38">
        <f>'[2]valores86'!R104/'[2]valores86'!R$110</f>
        <v>0.30363393052924414</v>
      </c>
      <c r="S33" s="38">
        <f>'[2]valores86'!S104/'[2]valores86'!S$110</f>
        <v>0.3445515497263642</v>
      </c>
      <c r="T33" s="38">
        <f>'[2]valores86'!T104/'[2]valores86'!T$110</f>
        <v>0.4639237803196349</v>
      </c>
      <c r="U33" s="38">
        <f>'[2]valores86'!V104/'[2]valores86'!V$110</f>
        <v>0.6743839131499557</v>
      </c>
      <c r="V33" s="38">
        <f>'[2]valores86'!W104/'[2]valores86'!W$110</f>
        <v>0.1294374166636144</v>
      </c>
      <c r="W33" s="38">
        <f>'[2]valores86'!X104/'[2]valores86'!X$110</f>
        <v>0.21450967667541476</v>
      </c>
      <c r="X33" s="38">
        <f>'[2]valores86'!Y104/'[2]valores86'!Y$110</f>
        <v>0.03933089255521697</v>
      </c>
      <c r="Y33" s="38">
        <f>'[2]valores86'!Z104/'[2]valores86'!Z$110</f>
        <v>0.25105004380178153</v>
      </c>
      <c r="Z33" s="39">
        <f>'[2]valores86'!AA104/'[2]valores86'!AA$110</f>
        <v>0.21080161373998496</v>
      </c>
    </row>
    <row r="34" spans="1:26" ht="15" customHeight="1">
      <c r="A34" s="76"/>
      <c r="B34" s="37" t="s">
        <v>78</v>
      </c>
      <c r="C34" s="38">
        <f>'[2]valores86'!C105/'[2]valores86'!C$110</f>
        <v>0.435086686975646</v>
      </c>
      <c r="D34" s="38">
        <f>'[2]valores86'!D105/'[2]valores86'!D$110</f>
        <v>0.2594794347502286</v>
      </c>
      <c r="E34" s="38">
        <f>'[2]valores86'!E105/'[2]valores86'!E$110</f>
        <v>0.27812651454936704</v>
      </c>
      <c r="F34" s="38">
        <f>'[2]valores86'!F105/'[2]valores86'!F$110</f>
        <v>0.377627463214482</v>
      </c>
      <c r="G34" s="38">
        <f>'[2]valores86'!G105/'[2]valores86'!G$110</f>
        <v>0.3512220811450337</v>
      </c>
      <c r="H34" s="38">
        <f>'[2]valores86'!H105/'[2]valores86'!H$110</f>
        <v>0.30471745034089054</v>
      </c>
      <c r="I34" s="38">
        <f>'[2]valores86'!I105/'[2]valores86'!I$110</f>
        <v>0.3937055131055355</v>
      </c>
      <c r="J34" s="38">
        <f>'[2]valores86'!J105/'[2]valores86'!J$110</f>
        <v>0.49896996496568735</v>
      </c>
      <c r="K34" s="38">
        <f>'[2]valores86'!K105/'[2]valores86'!K$110</f>
        <v>0.17488327165725298</v>
      </c>
      <c r="L34" s="38">
        <f>'[2]valores86'!L105/'[2]valores86'!L$110</f>
        <v>0.42055764427209974</v>
      </c>
      <c r="M34" s="38">
        <f>'[2]valores86'!M105/'[2]valores86'!M$110</f>
        <v>0.33803941989741454</v>
      </c>
      <c r="N34" s="38">
        <f>'[2]valores86'!N105/'[2]valores86'!N$110</f>
        <v>0.2455920614361226</v>
      </c>
      <c r="O34" s="38">
        <f>'[2]valores86'!O105/'[2]valores86'!O$110</f>
        <v>0.3270161784025441</v>
      </c>
      <c r="P34" s="38">
        <f>'[2]valores86'!P105/'[2]valores86'!P$110</f>
        <v>0.8341014147639725</v>
      </c>
      <c r="Q34" s="38">
        <f>'[2]valores86'!Q105/'[2]valores86'!Q$110</f>
        <v>0.43856941020029366</v>
      </c>
      <c r="R34" s="38">
        <f>'[2]valores86'!R105/'[2]valores86'!R$110</f>
        <v>0.5375731475684586</v>
      </c>
      <c r="S34" s="38">
        <f>'[2]valores86'!S105/'[2]valores86'!S$110</f>
        <v>0.5627267182433952</v>
      </c>
      <c r="T34" s="38">
        <f>'[2]valores86'!T105/'[2]valores86'!T$110</f>
        <v>0.7155305289576693</v>
      </c>
      <c r="U34" s="38">
        <f>'[2]valores86'!V105/'[2]valores86'!V$110</f>
        <v>0.7938835932177213</v>
      </c>
      <c r="V34" s="38">
        <f>'[2]valores86'!W105/'[2]valores86'!W$110</f>
        <v>0.6791575543593189</v>
      </c>
      <c r="W34" s="38">
        <f>'[2]valores86'!X105/'[2]valores86'!X$110</f>
        <v>1.0135694174273684</v>
      </c>
      <c r="X34" s="38">
        <f>'[2]valores86'!Y105/'[2]valores86'!Y$110</f>
        <v>0.7423012947610746</v>
      </c>
      <c r="Y34" s="38">
        <f>'[2]valores86'!Z105/'[2]valores86'!Z$110</f>
        <v>0.6627228213783073</v>
      </c>
      <c r="Z34" s="39">
        <f>'[2]valores86'!AA105/'[2]valores86'!AA$110</f>
        <v>0.4274185403179802</v>
      </c>
    </row>
    <row r="35" spans="1:26" ht="15" customHeight="1">
      <c r="A35" s="76"/>
      <c r="B35" s="37" t="s">
        <v>79</v>
      </c>
      <c r="C35" s="38">
        <f>'[2]valores86'!C106/'[2]valores86'!C$110</f>
        <v>0.00032323733404401547</v>
      </c>
      <c r="D35" s="38">
        <f>'[2]valores86'!D106/'[2]valores86'!D$110</f>
        <v>0.019116302308700282</v>
      </c>
      <c r="E35" s="38">
        <f>'[2]valores86'!E106/'[2]valores86'!E$110</f>
        <v>0.024508074365585563</v>
      </c>
      <c r="F35" s="38">
        <f>'[2]valores86'!F106/'[2]valores86'!F$110</f>
        <v>0.025872495760228136</v>
      </c>
      <c r="G35" s="38">
        <f>'[2]valores86'!G106/'[2]valores86'!G$110</f>
        <v>0.0015149766260749119</v>
      </c>
      <c r="H35" s="38">
        <f>'[2]valores86'!H106/'[2]valores86'!H$110</f>
        <v>0.021148860690407965</v>
      </c>
      <c r="I35" s="38">
        <f>'[2]valores86'!I106/'[2]valores86'!I$110</f>
        <v>0.005805481345862835</v>
      </c>
      <c r="J35" s="38">
        <f>'[2]valores86'!J106/'[2]valores86'!J$110</f>
        <v>0.013885134691842386</v>
      </c>
      <c r="K35" s="38">
        <f>'[2]valores86'!K106/'[2]valores86'!K$110</f>
        <v>0.00526790931247401</v>
      </c>
      <c r="L35" s="38">
        <f>'[2]valores86'!L106/'[2]valores86'!L$110</f>
        <v>0.008386432648422886</v>
      </c>
      <c r="M35" s="38">
        <f>'[2]valores86'!M106/'[2]valores86'!M$110</f>
        <v>0.0046918530476215276</v>
      </c>
      <c r="N35" s="38">
        <f>'[2]valores86'!N106/'[2]valores86'!N$110</f>
        <v>0.0036365190713609405</v>
      </c>
      <c r="O35" s="38">
        <f>'[2]valores86'!O106/'[2]valores86'!O$110</f>
        <v>0.011095558136687483</v>
      </c>
      <c r="P35" s="38">
        <f>'[2]valores86'!P106/'[2]valores86'!P$110</f>
        <v>0.024064995097352573</v>
      </c>
      <c r="Q35" s="38">
        <f>'[2]valores86'!Q106/'[2]valores86'!Q$110</f>
        <v>0.00881402886666482</v>
      </c>
      <c r="R35" s="38">
        <f>'[2]valores86'!R106/'[2]valores86'!R$110</f>
        <v>0.060532234379511704</v>
      </c>
      <c r="S35" s="38">
        <f>'[2]valores86'!S106/'[2]valores86'!S$110</f>
        <v>0.014662450643639049</v>
      </c>
      <c r="T35" s="38">
        <f>'[2]valores86'!T106/'[2]valores86'!T$110</f>
        <v>0.007150965540683543</v>
      </c>
      <c r="U35" s="38">
        <f>'[2]valores86'!V106/'[2]valores86'!V$110</f>
        <v>0.0023453740828067765</v>
      </c>
      <c r="V35" s="38">
        <f>'[2]valores86'!W106/'[2]valores86'!W$110</f>
        <v>0</v>
      </c>
      <c r="W35" s="38">
        <f>'[2]valores86'!X106/'[2]valores86'!X$110</f>
        <v>0.010743329331019333</v>
      </c>
      <c r="X35" s="38">
        <f>'[2]valores86'!Y106/'[2]valores86'!Y$110</f>
        <v>0.000495016567086721</v>
      </c>
      <c r="Y35" s="38">
        <f>'[2]valores86'!Z106/'[2]valores86'!Z$110</f>
        <v>0.04838071044099717</v>
      </c>
      <c r="Z35" s="39">
        <f>'[2]valores86'!AA106/'[2]valores86'!AA$110</f>
        <v>0.013938858845508446</v>
      </c>
    </row>
    <row r="36" spans="1:26" ht="15" customHeight="1">
      <c r="A36" s="76"/>
      <c r="B36" s="37" t="s">
        <v>80</v>
      </c>
      <c r="C36" s="38">
        <f>'[2]valores86'!C107/'[2]valores86'!C$110</f>
        <v>0.016913888254874606</v>
      </c>
      <c r="D36" s="38">
        <f>'[2]valores86'!D107/'[2]valores86'!D$110</f>
        <v>0.006174759844264072</v>
      </c>
      <c r="E36" s="38">
        <f>'[2]valores86'!E107/'[2]valores86'!E$110</f>
        <v>0.0008064672469612082</v>
      </c>
      <c r="F36" s="38">
        <f>'[2]valores86'!F107/'[2]valores86'!F$110</f>
        <v>0.0008559233139934017</v>
      </c>
      <c r="G36" s="38">
        <f>'[2]valores86'!G107/'[2]valores86'!G$110</f>
        <v>0.009241357419056963</v>
      </c>
      <c r="H36" s="38">
        <f>'[2]valores86'!H107/'[2]valores86'!H$110</f>
        <v>0.00400089789127593</v>
      </c>
      <c r="I36" s="38">
        <f>'[2]valores86'!I107/'[2]valores86'!I$110</f>
        <v>0.06120976329702767</v>
      </c>
      <c r="J36" s="38">
        <f>'[2]valores86'!J107/'[2]valores86'!J$110</f>
        <v>0.0017897678812769811</v>
      </c>
      <c r="K36" s="38">
        <f>'[2]valores86'!K107/'[2]valores86'!K$110</f>
        <v>0.0016081401898184462</v>
      </c>
      <c r="L36" s="38">
        <f>'[2]valores86'!L107/'[2]valores86'!L$110</f>
        <v>0.0015717643239015176</v>
      </c>
      <c r="M36" s="38">
        <f>'[2]valores86'!M107/'[2]valores86'!M$110</f>
        <v>0.0014622334470278857</v>
      </c>
      <c r="N36" s="38">
        <f>'[2]valores86'!N107/'[2]valores86'!N$110</f>
        <v>0.0011315227893367488</v>
      </c>
      <c r="O36" s="38">
        <f>'[2]valores86'!O107/'[2]valores86'!O$110</f>
        <v>0.0030741943062877037</v>
      </c>
      <c r="P36" s="38">
        <f>'[2]valores86'!P107/'[2]valores86'!P$110</f>
        <v>0.020416024653312787</v>
      </c>
      <c r="Q36" s="38">
        <f>'[2]valores86'!Q107/'[2]valores86'!Q$110</f>
        <v>0.00029365321217829734</v>
      </c>
      <c r="R36" s="38">
        <f>'[2]valores86'!R107/'[2]valores86'!R$110</f>
        <v>0.008754308057336567</v>
      </c>
      <c r="S36" s="38">
        <f>'[2]valores86'!S107/'[2]valores86'!S$110</f>
        <v>0.030157539083817533</v>
      </c>
      <c r="T36" s="38">
        <f>'[2]valores86'!T107/'[2]valores86'!T$110</f>
        <v>0</v>
      </c>
      <c r="U36" s="38">
        <f>'[2]valores86'!V107/'[2]valores86'!V$110</f>
        <v>0.003930961553551878</v>
      </c>
      <c r="V36" s="38">
        <f>'[2]valores86'!W107/'[2]valores86'!W$110</f>
        <v>0</v>
      </c>
      <c r="W36" s="38">
        <f>'[2]valores86'!X107/'[2]valores86'!X$110</f>
        <v>0.20258699789747436</v>
      </c>
      <c r="X36" s="38">
        <f>'[2]valores86'!Y107/'[2]valores86'!Y$110</f>
        <v>0.000574857948874902</v>
      </c>
      <c r="Y36" s="38">
        <f>'[2]valores86'!Z107/'[2]valores86'!Z$110</f>
        <v>0.09309591855136211</v>
      </c>
      <c r="Z36" s="39">
        <f>'[2]valores86'!AA107/'[2]valores86'!AA$110</f>
        <v>0.012355292685551578</v>
      </c>
    </row>
    <row r="37" spans="1:26" ht="15" customHeight="1">
      <c r="A37" s="76"/>
      <c r="B37" s="37" t="s">
        <v>81</v>
      </c>
      <c r="C37" s="38">
        <f>'[2]valores86'!C108/'[2]valores86'!C$110</f>
        <v>-0.01659065092083059</v>
      </c>
      <c r="D37" s="38">
        <f>'[2]valores86'!D108/'[2]valores86'!D$110</f>
        <v>0.01294154246443621</v>
      </c>
      <c r="E37" s="38">
        <f>'[2]valores86'!E108/'[2]valores86'!E$110</f>
        <v>0.023701607118624353</v>
      </c>
      <c r="F37" s="38">
        <f>'[2]valores86'!F108/'[2]valores86'!F$110</f>
        <v>0.025016572446234734</v>
      </c>
      <c r="G37" s="38">
        <f>'[2]valores86'!G108/'[2]valores86'!G$110</f>
        <v>-0.00772638079298205</v>
      </c>
      <c r="H37" s="38">
        <f>'[2]valores86'!H108/'[2]valores86'!H$110</f>
        <v>0.017147962799132038</v>
      </c>
      <c r="I37" s="38">
        <f>'[2]valores86'!I108/'[2]valores86'!I$110</f>
        <v>-0.055404281951164834</v>
      </c>
      <c r="J37" s="38">
        <f>'[2]valores86'!J108/'[2]valores86'!J$110</f>
        <v>0.012095366810565403</v>
      </c>
      <c r="K37" s="38">
        <f>'[2]valores86'!K108/'[2]valores86'!K$110</f>
        <v>0.003659769122655564</v>
      </c>
      <c r="L37" s="38">
        <f>'[2]valores86'!L108/'[2]valores86'!L$110</f>
        <v>0.006814668324521368</v>
      </c>
      <c r="M37" s="38">
        <f>'[2]valores86'!M108/'[2]valores86'!M$110</f>
        <v>0.003229619600593642</v>
      </c>
      <c r="N37" s="38">
        <f>'[2]valores86'!N108/'[2]valores86'!N$110</f>
        <v>0.002504996282024192</v>
      </c>
      <c r="O37" s="38">
        <f>'[2]valores86'!O108/'[2]valores86'!O$110</f>
        <v>0.008021363830399779</v>
      </c>
      <c r="P37" s="38">
        <f>'[2]valores86'!P108/'[2]valores86'!P$110</f>
        <v>0.0036489704440397816</v>
      </c>
      <c r="Q37" s="38">
        <f>'[2]valores86'!Q108/'[2]valores86'!Q$110</f>
        <v>0.008520375654486522</v>
      </c>
      <c r="R37" s="38">
        <f>'[2]valores86'!R108/'[2]valores86'!R$110</f>
        <v>0.051777926322175136</v>
      </c>
      <c r="S37" s="38">
        <f>'[2]valores86'!S108/'[2]valores86'!S$110</f>
        <v>-0.015495088440178485</v>
      </c>
      <c r="T37" s="38">
        <f>'[2]valores86'!T108/'[2]valores86'!T$110</f>
        <v>0.007150965540683543</v>
      </c>
      <c r="U37" s="38">
        <f>'[2]valores86'!V108/'[2]valores86'!V$110</f>
        <v>-0.0015855874707451016</v>
      </c>
      <c r="V37" s="38">
        <f>'[2]valores86'!W108/'[2]valores86'!W$110</f>
        <v>0</v>
      </c>
      <c r="W37" s="38">
        <f>'[2]valores86'!X108/'[2]valores86'!X$110</f>
        <v>-0.19184366856645502</v>
      </c>
      <c r="X37" s="38">
        <f>'[2]valores86'!Y108/'[2]valores86'!Y$110</f>
        <v>-7.984138178818082E-05</v>
      </c>
      <c r="Y37" s="38">
        <f>'[2]valores86'!Z108/'[2]valores86'!Z$110</f>
        <v>-0.04471520811036494</v>
      </c>
      <c r="Z37" s="39">
        <f>'[2]valores86'!AA108/'[2]valores86'!AA$110</f>
        <v>0.00158356615995687</v>
      </c>
    </row>
    <row r="38" spans="1:26" ht="15" customHeight="1">
      <c r="A38" s="76"/>
      <c r="B38" s="37" t="s">
        <v>82</v>
      </c>
      <c r="C38" s="40">
        <f>'[2]valores86'!C109/'[2]valores86'!C$110</f>
        <v>0.4184960360548155</v>
      </c>
      <c r="D38" s="40">
        <f>'[2]valores86'!D109/'[2]valores86'!D$110</f>
        <v>0.2724209772146648</v>
      </c>
      <c r="E38" s="40">
        <f>'[2]valores86'!E109/'[2]valores86'!E$110</f>
        <v>0.3018281216679914</v>
      </c>
      <c r="F38" s="40">
        <f>'[2]valores86'!F109/'[2]valores86'!F$110</f>
        <v>0.4026440356607167</v>
      </c>
      <c r="G38" s="40">
        <f>'[2]valores86'!G109/'[2]valores86'!G$110</f>
        <v>0.3434957003520517</v>
      </c>
      <c r="H38" s="40">
        <f>'[2]valores86'!H109/'[2]valores86'!H$110</f>
        <v>0.3218654131400226</v>
      </c>
      <c r="I38" s="40">
        <f>'[2]valores86'!I109/'[2]valores86'!I$110</f>
        <v>0.3383012311543707</v>
      </c>
      <c r="J38" s="40">
        <f>'[2]valores86'!J109/'[2]valores86'!J$110</f>
        <v>0.5110653317762528</v>
      </c>
      <c r="K38" s="40">
        <f>'[2]valores86'!K109/'[2]valores86'!K$110</f>
        <v>0.17854304077990854</v>
      </c>
      <c r="L38" s="40">
        <f>'[2]valores86'!L109/'[2]valores86'!L$110</f>
        <v>0.4273723125966211</v>
      </c>
      <c r="M38" s="40">
        <f>'[2]valores86'!M109/'[2]valores86'!M$110</f>
        <v>0.3412690394980082</v>
      </c>
      <c r="N38" s="40">
        <f>'[2]valores86'!N109/'[2]valores86'!N$110</f>
        <v>0.24809705771814677</v>
      </c>
      <c r="O38" s="40">
        <f>'[2]valores86'!O109/'[2]valores86'!O$110</f>
        <v>0.33503754223294385</v>
      </c>
      <c r="P38" s="40">
        <f>'[2]valores86'!P109/'[2]valores86'!P$110</f>
        <v>0.8377503852080123</v>
      </c>
      <c r="Q38" s="40">
        <f>'[2]valores86'!Q109/'[2]valores86'!Q$110</f>
        <v>0.44708978585478015</v>
      </c>
      <c r="R38" s="40">
        <f>'[2]valores86'!R109/'[2]valores86'!R$110</f>
        <v>0.5893510738906338</v>
      </c>
      <c r="S38" s="40">
        <f>'[2]valores86'!S109/'[2]valores86'!S$110</f>
        <v>0.5472316298032166</v>
      </c>
      <c r="T38" s="40">
        <f>'[2]valores86'!T109/'[2]valores86'!T$110</f>
        <v>0.7226814944983528</v>
      </c>
      <c r="U38" s="40">
        <f>'[2]valores86'!V109/'[2]valores86'!V$110</f>
        <v>0.7922980057469761</v>
      </c>
      <c r="V38" s="40">
        <f>'[2]valores86'!W109/'[2]valores86'!W$110</f>
        <v>0.6791575543593189</v>
      </c>
      <c r="W38" s="40">
        <f>'[2]valores86'!X109/'[2]valores86'!X$110</f>
        <v>0.8217257488609135</v>
      </c>
      <c r="X38" s="40">
        <f>'[2]valores86'!Y109/'[2]valores86'!Y$110</f>
        <v>0.7422214533792865</v>
      </c>
      <c r="Y38" s="40">
        <f>'[2]valores86'!Z109/'[2]valores86'!Z$110</f>
        <v>0.6180076132679424</v>
      </c>
      <c r="Z38" s="41">
        <f>'[2]valores86'!AA109/'[2]valores86'!AA$110</f>
        <v>0.42900210647793713</v>
      </c>
    </row>
    <row r="39" spans="1:26" ht="15" customHeight="1" thickBot="1">
      <c r="A39" s="77"/>
      <c r="B39" s="43" t="s">
        <v>83</v>
      </c>
      <c r="C39" s="44">
        <f>'[2]valores86'!C110/'[2]valores86'!C$110</f>
        <v>1</v>
      </c>
      <c r="D39" s="44">
        <f>'[2]valores86'!D110/'[2]valores86'!D$110</f>
        <v>1</v>
      </c>
      <c r="E39" s="44">
        <f>'[2]valores86'!E110/'[2]valores86'!E$110</f>
        <v>1</v>
      </c>
      <c r="F39" s="44">
        <f>'[2]valores86'!F110/'[2]valores86'!F$110</f>
        <v>1</v>
      </c>
      <c r="G39" s="44">
        <f>'[2]valores86'!G110/'[2]valores86'!G$110</f>
        <v>1</v>
      </c>
      <c r="H39" s="44">
        <f>'[2]valores86'!H110/'[2]valores86'!H$110</f>
        <v>1</v>
      </c>
      <c r="I39" s="44">
        <f>'[2]valores86'!I110/'[2]valores86'!I$110</f>
        <v>1</v>
      </c>
      <c r="J39" s="44">
        <f>'[2]valores86'!J110/'[2]valores86'!J$110</f>
        <v>1</v>
      </c>
      <c r="K39" s="44">
        <f>'[2]valores86'!K110/'[2]valores86'!K$110</f>
        <v>1</v>
      </c>
      <c r="L39" s="44">
        <f>'[2]valores86'!L110/'[2]valores86'!L$110</f>
        <v>1</v>
      </c>
      <c r="M39" s="44">
        <f>'[2]valores86'!M110/'[2]valores86'!M$110</f>
        <v>1</v>
      </c>
      <c r="N39" s="44">
        <f>'[2]valores86'!N110/'[2]valores86'!N$110</f>
        <v>1</v>
      </c>
      <c r="O39" s="44">
        <f>'[2]valores86'!O110/'[2]valores86'!O$110</f>
        <v>1</v>
      </c>
      <c r="P39" s="44">
        <f>'[2]valores86'!P110/'[2]valores86'!P$110</f>
        <v>1</v>
      </c>
      <c r="Q39" s="44">
        <f>'[2]valores86'!Q110/'[2]valores86'!Q$110</f>
        <v>1</v>
      </c>
      <c r="R39" s="44">
        <f>'[2]valores86'!R110/'[2]valores86'!R$110</f>
        <v>1</v>
      </c>
      <c r="S39" s="44">
        <f>'[2]valores86'!S110/'[2]valores86'!S$110</f>
        <v>1</v>
      </c>
      <c r="T39" s="44">
        <f>'[2]valores86'!T110/'[2]valores86'!T$110</f>
        <v>1</v>
      </c>
      <c r="U39" s="44">
        <f>'[2]valores86'!V110/'[2]valores86'!V$110</f>
        <v>1</v>
      </c>
      <c r="V39" s="44">
        <f>'[2]valores86'!W110/'[2]valores86'!W$110</f>
        <v>1</v>
      </c>
      <c r="W39" s="44">
        <f>'[2]valores86'!X110/'[2]valores86'!X$110</f>
        <v>1</v>
      </c>
      <c r="X39" s="44">
        <f>'[2]valores86'!Y110/'[2]valores86'!Y$110</f>
        <v>1</v>
      </c>
      <c r="Y39" s="44">
        <f>'[2]valores86'!Z110/'[2]valores86'!Z$110</f>
        <v>1</v>
      </c>
      <c r="Z39" s="45">
        <f>'[2]valores86'!AA110/'[2]valores86'!AA$110</f>
        <v>1</v>
      </c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blackAndWhite="1"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zoomScale="75" zoomScaleNormal="75" zoomScalePageLayoutView="0" workbookViewId="0" topLeftCell="A1">
      <pane xSplit="2" ySplit="4" topLeftCell="C13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21875" defaultRowHeight="12.75"/>
  <cols>
    <col min="1" max="1" width="3.00390625" style="28" customWidth="1"/>
    <col min="2" max="2" width="48.7109375" style="27" customWidth="1"/>
    <col min="3" max="5" width="7.28125" style="0" customWidth="1"/>
    <col min="6" max="6" width="6.28125" style="0" customWidth="1"/>
    <col min="7" max="11" width="7.28125" style="0" customWidth="1"/>
    <col min="12" max="12" width="6.28125" style="0" customWidth="1"/>
    <col min="13" max="15" width="7.28125" style="0" customWidth="1"/>
    <col min="16" max="16" width="6.28125" style="0" customWidth="1"/>
    <col min="17" max="19" width="7.28125" style="0" customWidth="1"/>
    <col min="20" max="20" width="6.28125" style="0" customWidth="1"/>
    <col min="21" max="21" width="7.28125" style="0" customWidth="1"/>
    <col min="22" max="26" width="6.28125" style="0" customWidth="1"/>
    <col min="27" max="27" width="7.00390625" style="0" customWidth="1"/>
    <col min="28" max="28" width="7.28125" style="0" customWidth="1"/>
    <col min="29" max="29" width="8.28125" style="0" customWidth="1"/>
    <col min="30" max="30" width="7.28125" style="0" customWidth="1"/>
    <col min="31" max="31" width="6.28125" style="0" customWidth="1"/>
    <col min="32" max="35" width="7.28125" style="0" customWidth="1"/>
    <col min="36" max="36" width="6.28125" style="0" customWidth="1"/>
    <col min="37" max="38" width="8.00390625" style="0" customWidth="1"/>
  </cols>
  <sheetData>
    <row r="1" s="28" customFormat="1" ht="18">
      <c r="B1" s="83" t="s">
        <v>107</v>
      </c>
    </row>
    <row r="2" spans="1:38" s="48" customFormat="1" ht="15.75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spans="1:38" s="27" customFormat="1" ht="12.75">
      <c r="A3" s="47"/>
      <c r="B3" s="79" t="s">
        <v>104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 t="s">
        <v>18</v>
      </c>
      <c r="V3" s="30">
        <v>19</v>
      </c>
      <c r="W3" s="30">
        <v>20</v>
      </c>
      <c r="X3" s="30">
        <v>21</v>
      </c>
      <c r="Y3" s="30">
        <v>22</v>
      </c>
      <c r="Z3" s="30">
        <v>23</v>
      </c>
      <c r="AA3" s="30"/>
      <c r="AB3" s="30">
        <v>27</v>
      </c>
      <c r="AC3" s="30">
        <v>28</v>
      </c>
      <c r="AD3" s="30">
        <v>29</v>
      </c>
      <c r="AE3" s="30">
        <v>30</v>
      </c>
      <c r="AF3" s="30">
        <v>31</v>
      </c>
      <c r="AG3" s="30">
        <v>32</v>
      </c>
      <c r="AH3" s="30">
        <v>33</v>
      </c>
      <c r="AI3" s="30">
        <v>34</v>
      </c>
      <c r="AJ3" s="30">
        <v>35</v>
      </c>
      <c r="AK3" s="30">
        <v>36</v>
      </c>
      <c r="AL3" s="75">
        <v>37</v>
      </c>
    </row>
    <row r="4" spans="1:38" s="27" customFormat="1" ht="267.75">
      <c r="A4" s="33"/>
      <c r="B4" s="34"/>
      <c r="C4" s="34" t="s">
        <v>24</v>
      </c>
      <c r="D4" s="34" t="s">
        <v>25</v>
      </c>
      <c r="E4" s="34" t="s">
        <v>26</v>
      </c>
      <c r="F4" s="34" t="s">
        <v>27</v>
      </c>
      <c r="G4" s="34" t="s">
        <v>28</v>
      </c>
      <c r="H4" s="34" t="s">
        <v>29</v>
      </c>
      <c r="I4" s="34" t="s">
        <v>30</v>
      </c>
      <c r="J4" s="34" t="s">
        <v>31</v>
      </c>
      <c r="K4" s="34" t="s">
        <v>32</v>
      </c>
      <c r="L4" s="34" t="s">
        <v>33</v>
      </c>
      <c r="M4" s="34" t="s">
        <v>92</v>
      </c>
      <c r="N4" s="34" t="s">
        <v>35</v>
      </c>
      <c r="O4" s="34" t="s">
        <v>36</v>
      </c>
      <c r="P4" s="34" t="s">
        <v>37</v>
      </c>
      <c r="Q4" s="34" t="s">
        <v>38</v>
      </c>
      <c r="R4" s="34" t="s">
        <v>109</v>
      </c>
      <c r="S4" s="34" t="s">
        <v>39</v>
      </c>
      <c r="T4" s="34" t="s">
        <v>40</v>
      </c>
      <c r="U4" s="34" t="s">
        <v>41</v>
      </c>
      <c r="V4" s="34" t="s">
        <v>42</v>
      </c>
      <c r="W4" s="34" t="s">
        <v>43</v>
      </c>
      <c r="X4" s="34" t="s">
        <v>44</v>
      </c>
      <c r="Y4" s="34" t="s">
        <v>45</v>
      </c>
      <c r="Z4" s="34" t="s">
        <v>46</v>
      </c>
      <c r="AA4" s="34" t="s">
        <v>47</v>
      </c>
      <c r="AB4" s="34" t="s">
        <v>48</v>
      </c>
      <c r="AC4" s="34" t="s">
        <v>49</v>
      </c>
      <c r="AD4" s="34" t="s">
        <v>50</v>
      </c>
      <c r="AE4" s="34" t="s">
        <v>51</v>
      </c>
      <c r="AF4" s="34" t="s">
        <v>110</v>
      </c>
      <c r="AG4" s="34" t="s">
        <v>52</v>
      </c>
      <c r="AH4" s="34" t="s">
        <v>111</v>
      </c>
      <c r="AI4" s="34" t="s">
        <v>53</v>
      </c>
      <c r="AJ4" s="34" t="s">
        <v>54</v>
      </c>
      <c r="AK4" s="34" t="s">
        <v>55</v>
      </c>
      <c r="AL4" s="35" t="s">
        <v>56</v>
      </c>
    </row>
    <row r="5" spans="1:38" ht="15.75" customHeight="1">
      <c r="A5" s="76">
        <v>1</v>
      </c>
      <c r="B5" s="37" t="s">
        <v>24</v>
      </c>
      <c r="C5" s="38">
        <f>'[2]valores86'!C7/'[2]valores86'!$AL7</f>
        <v>0.1260175713307892</v>
      </c>
      <c r="D5" s="38">
        <f>'[2]valores86'!D7/'[2]valores86'!$AL7</f>
        <v>0.17219154063253042</v>
      </c>
      <c r="E5" s="38">
        <f>'[2]valores86'!E7/'[2]valores86'!$AL7</f>
        <v>0.11845458551724784</v>
      </c>
      <c r="F5" s="38">
        <f>'[2]valores86'!F7/'[2]valores86'!$AL7</f>
        <v>0.020433001097036125</v>
      </c>
      <c r="G5" s="38">
        <f>'[2]valores86'!G7/'[2]valores86'!$AL7</f>
        <v>0</v>
      </c>
      <c r="H5" s="38">
        <f>'[2]valores86'!H7/'[2]valores86'!$AL7</f>
        <v>0.02164817957637528</v>
      </c>
      <c r="I5" s="38">
        <f>'[2]valores86'!I7/'[2]valores86'!$AL7</f>
        <v>0</v>
      </c>
      <c r="J5" s="38">
        <f>'[2]valores86'!J7/'[2]valores86'!$AL7</f>
        <v>0</v>
      </c>
      <c r="K5" s="38">
        <f>'[2]valores86'!K7/'[2]valores86'!$AL7</f>
        <v>0</v>
      </c>
      <c r="L5" s="38">
        <f>'[2]valores86'!L7/'[2]valores86'!$AL7</f>
        <v>0</v>
      </c>
      <c r="M5" s="38">
        <f>'[2]valores86'!M7/'[2]valores86'!$AL7</f>
        <v>0.003811497313667945</v>
      </c>
      <c r="N5" s="38">
        <f>'[2]valores86'!N7/'[2]valores86'!$AL7</f>
        <v>0</v>
      </c>
      <c r="O5" s="38">
        <f>'[2]valores86'!O7/'[2]valores86'!$AL7</f>
        <v>0.016833409907080103</v>
      </c>
      <c r="P5" s="38">
        <f>'[2]valores86'!P7/'[2]valores86'!$AL7</f>
        <v>0</v>
      </c>
      <c r="Q5" s="38">
        <f>'[2]valores86'!Q7/'[2]valores86'!$AL7</f>
        <v>0.00014439620819307837</v>
      </c>
      <c r="R5" s="38">
        <f>'[2]valores86'!R7/'[2]valores86'!$AL7</f>
        <v>0.019129684672436264</v>
      </c>
      <c r="S5" s="38">
        <f>'[2]valores86'!S7/'[2]valores86'!$AL7</f>
        <v>0</v>
      </c>
      <c r="T5" s="38">
        <f>'[2]valores86'!T7/'[2]valores86'!$AL7</f>
        <v>0</v>
      </c>
      <c r="U5" s="38">
        <f>'[2]valores86'!U7/'[2]valores86'!$AL7</f>
        <v>0</v>
      </c>
      <c r="V5" s="38">
        <f>'[2]valores86'!V7/'[2]valores86'!$AL7</f>
        <v>0</v>
      </c>
      <c r="W5" s="38">
        <f>'[2]valores86'!W7/'[2]valores86'!$AL7</f>
        <v>0.0004331886245792351</v>
      </c>
      <c r="X5" s="38">
        <f>'[2]valores86'!X7/'[2]valores86'!$AL7</f>
        <v>9.282613383840751E-05</v>
      </c>
      <c r="Y5" s="38">
        <f>'[2]valores86'!Y7/'[2]valores86'!$AL7</f>
        <v>0.0017974515006891636</v>
      </c>
      <c r="Z5" s="38">
        <f>'[2]valores86'!Z7/'[2]valores86'!$AL7</f>
        <v>0.0008138695370882598</v>
      </c>
      <c r="AA5" s="40">
        <f>'[2]valores86'!AA7/'[2]valores86'!$AL7</f>
        <v>0.5018012020515513</v>
      </c>
      <c r="AB5" s="38">
        <f>'[2]valores86'!AB7/'[2]valores86'!$AL7</f>
        <v>0.1248577134766669</v>
      </c>
      <c r="AC5" s="38">
        <f>'[2]valores86'!AC7/'[2]valores86'!$AL7</f>
        <v>0</v>
      </c>
      <c r="AD5" s="38">
        <f>'[2]valores86'!AD7/'[2]valores86'!$AL7</f>
        <v>0.0031438992602038428</v>
      </c>
      <c r="AE5" s="38">
        <f>'[2]valores86'!AE7/'[2]valores86'!$AL7</f>
        <v>0.010300887942916614</v>
      </c>
      <c r="AF5" s="38">
        <f>'[2]valores86'!AF7/'[2]valores86'!$AL7</f>
        <v>0.01344478720312046</v>
      </c>
      <c r="AG5" s="38">
        <f>'[2]valores86'!AG7/'[2]valores86'!$AL7</f>
        <v>0.35989629726866135</v>
      </c>
      <c r="AH5" s="38">
        <f>'[2]valores86'!AH7/'[2]valores86'!$AL7</f>
        <v>0.30640125268398793</v>
      </c>
      <c r="AI5" s="38">
        <f>'[2]valores86'!AI7/'[2]valores86'!$AL7</f>
        <v>0.0507946479639197</v>
      </c>
      <c r="AJ5" s="38">
        <f>'[2]valores86'!AJ7/'[2]valores86'!$AL7</f>
        <v>0.002700396620753673</v>
      </c>
      <c r="AK5" s="40">
        <f>'[2]valores86'!AK7/'[2]valores86'!$AL7</f>
        <v>0.4981987979484487</v>
      </c>
      <c r="AL5" s="41">
        <f>'[2]valores86'!AL7/'[2]valores86'!$AL7</f>
        <v>1</v>
      </c>
    </row>
    <row r="6" spans="1:38" ht="15.75" customHeight="1">
      <c r="A6" s="76">
        <v>2</v>
      </c>
      <c r="B6" s="37" t="s">
        <v>61</v>
      </c>
      <c r="C6" s="38">
        <f>'[2]valores86'!C11/'[2]valores86'!$AL11</f>
        <v>0.14152560026714597</v>
      </c>
      <c r="D6" s="38">
        <f>'[2]valores86'!D11/'[2]valores86'!$AL11</f>
        <v>0.10382577728275284</v>
      </c>
      <c r="E6" s="38">
        <f>'[2]valores86'!E11/'[2]valores86'!$AL11</f>
        <v>0</v>
      </c>
      <c r="F6" s="38">
        <f>'[2]valores86'!F11/'[2]valores86'!$AL11</f>
        <v>0.007191586158237925</v>
      </c>
      <c r="G6" s="38">
        <f>'[2]valores86'!G11/'[2]valores86'!$AL11</f>
        <v>0.007621825155477486</v>
      </c>
      <c r="H6" s="38">
        <f>'[2]valores86'!H11/'[2]valores86'!$AL11</f>
        <v>0.0017659688280854992</v>
      </c>
      <c r="I6" s="38">
        <f>'[2]valores86'!I11/'[2]valores86'!$AL11</f>
        <v>0.00017900454629675186</v>
      </c>
      <c r="J6" s="38">
        <f>'[2]valores86'!J11/'[2]valores86'!$AL11</f>
        <v>0</v>
      </c>
      <c r="K6" s="38">
        <f>'[2]valores86'!K11/'[2]valores86'!$AL11</f>
        <v>0</v>
      </c>
      <c r="L6" s="38">
        <f>'[2]valores86'!L11/'[2]valores86'!$AL11</f>
        <v>0</v>
      </c>
      <c r="M6" s="38">
        <f>'[2]valores86'!M11/'[2]valores86'!$AL11</f>
        <v>0</v>
      </c>
      <c r="N6" s="38">
        <f>'[2]valores86'!N11/'[2]valores86'!$AL11</f>
        <v>0</v>
      </c>
      <c r="O6" s="38">
        <f>'[2]valores86'!O11/'[2]valores86'!$AL11</f>
        <v>0</v>
      </c>
      <c r="P6" s="38">
        <f>'[2]valores86'!P11/'[2]valores86'!$AL11</f>
        <v>0</v>
      </c>
      <c r="Q6" s="38">
        <f>'[2]valores86'!Q11/'[2]valores86'!$AL11</f>
        <v>0</v>
      </c>
      <c r="R6" s="38">
        <f>'[2]valores86'!R11/'[2]valores86'!$AL11</f>
        <v>0.03676711508526793</v>
      </c>
      <c r="S6" s="38">
        <f>'[2]valores86'!S11/'[2]valores86'!$AL11</f>
        <v>0</v>
      </c>
      <c r="T6" s="38">
        <f>'[2]valores86'!T11/'[2]valores86'!$AL11</f>
        <v>0</v>
      </c>
      <c r="U6" s="38">
        <f>'[2]valores86'!U11/'[2]valores86'!$AL11</f>
        <v>0</v>
      </c>
      <c r="V6" s="38">
        <f>'[2]valores86'!V11/'[2]valores86'!$AL11</f>
        <v>0</v>
      </c>
      <c r="W6" s="38">
        <f>'[2]valores86'!W11/'[2]valores86'!$AL11</f>
        <v>0.0008500098923565058</v>
      </c>
      <c r="X6" s="38">
        <f>'[2]valores86'!X11/'[2]valores86'!$AL11</f>
        <v>0.001495891793321979</v>
      </c>
      <c r="Y6" s="38">
        <f>'[2]valores86'!Y11/'[2]valores86'!$AL11</f>
        <v>0.002480940203060245</v>
      </c>
      <c r="Z6" s="38">
        <f>'[2]valores86'!Z11/'[2]valores86'!$AL11</f>
        <v>0.0010091250446202854</v>
      </c>
      <c r="AA6" s="40">
        <f>'[2]valores86'!AA11/'[2]valores86'!$AL11</f>
        <v>0.3047128442566234</v>
      </c>
      <c r="AB6" s="38">
        <f>'[2]valores86'!AB11/'[2]valores86'!$AL11</f>
        <v>0.3678815597053438</v>
      </c>
      <c r="AC6" s="38">
        <f>'[2]valores86'!AC11/'[2]valores86'!$AL11</f>
        <v>0</v>
      </c>
      <c r="AD6" s="38">
        <f>'[2]valores86'!AD11/'[2]valores86'!$AL11</f>
        <v>0</v>
      </c>
      <c r="AE6" s="38">
        <f>'[2]valores86'!AE11/'[2]valores86'!$AL11</f>
        <v>0.00566743048918488</v>
      </c>
      <c r="AF6" s="38">
        <f>'[2]valores86'!AF11/'[2]valores86'!$AL11</f>
        <v>0.00566743048918488</v>
      </c>
      <c r="AG6" s="38">
        <f>'[2]valores86'!AG11/'[2]valores86'!$AL11</f>
        <v>0.3217381655488478</v>
      </c>
      <c r="AH6" s="38">
        <f>'[2]valores86'!AH11/'[2]valores86'!$AL11</f>
        <v>0.282791591601651</v>
      </c>
      <c r="AI6" s="38">
        <f>'[2]valores86'!AI11/'[2]valores86'!$AL11</f>
        <v>0.03591815200312368</v>
      </c>
      <c r="AJ6" s="38">
        <f>'[2]valores86'!AJ11/'[2]valores86'!$AL11</f>
        <v>0.0030284219440731177</v>
      </c>
      <c r="AK6" s="40">
        <f>'[2]valores86'!AK11/'[2]valores86'!$AL11</f>
        <v>0.6952871557433766</v>
      </c>
      <c r="AL6" s="41">
        <f>'[2]valores86'!AL11/'[2]valores86'!$AL11</f>
        <v>1</v>
      </c>
    </row>
    <row r="7" spans="1:38" ht="15.75" customHeight="1">
      <c r="A7" s="76">
        <v>3</v>
      </c>
      <c r="B7" s="37" t="s">
        <v>26</v>
      </c>
      <c r="C7" s="38">
        <f>'[2]valores86'!C15/'[2]valores86'!$AL15</f>
        <v>0</v>
      </c>
      <c r="D7" s="38">
        <f>'[2]valores86'!D15/'[2]valores86'!$AL15</f>
        <v>0</v>
      </c>
      <c r="E7" s="38">
        <f>'[2]valores86'!E15/'[2]valores86'!$AL15</f>
        <v>0.052347194300426766</v>
      </c>
      <c r="F7" s="38">
        <f>'[2]valores86'!F15/'[2]valores86'!$AL15</f>
        <v>0.0003844390364335344</v>
      </c>
      <c r="G7" s="38">
        <f>'[2]valores86'!G15/'[2]valores86'!$AL15</f>
        <v>0</v>
      </c>
      <c r="H7" s="38">
        <f>'[2]valores86'!H15/'[2]valores86'!$AL15</f>
        <v>0</v>
      </c>
      <c r="I7" s="38">
        <f>'[2]valores86'!I15/'[2]valores86'!$AL15</f>
        <v>0</v>
      </c>
      <c r="J7" s="38">
        <f>'[2]valores86'!J15/'[2]valores86'!$AL15</f>
        <v>0</v>
      </c>
      <c r="K7" s="38">
        <f>'[2]valores86'!K15/'[2]valores86'!$AL15</f>
        <v>0</v>
      </c>
      <c r="L7" s="38">
        <f>'[2]valores86'!L15/'[2]valores86'!$AL15</f>
        <v>0</v>
      </c>
      <c r="M7" s="38">
        <f>'[2]valores86'!M15/'[2]valores86'!$AL15</f>
        <v>0</v>
      </c>
      <c r="N7" s="38">
        <f>'[2]valores86'!N15/'[2]valores86'!$AL15</f>
        <v>0</v>
      </c>
      <c r="O7" s="38">
        <f>'[2]valores86'!O15/'[2]valores86'!$AL15</f>
        <v>0</v>
      </c>
      <c r="P7" s="38">
        <f>'[2]valores86'!P15/'[2]valores86'!$AL15</f>
        <v>0</v>
      </c>
      <c r="Q7" s="38">
        <f>'[2]valores86'!Q15/'[2]valores86'!$AL15</f>
        <v>0</v>
      </c>
      <c r="R7" s="38">
        <f>'[2]valores86'!R15/'[2]valores86'!$AL15</f>
        <v>0.00925122561986386</v>
      </c>
      <c r="S7" s="38">
        <f>'[2]valores86'!S15/'[2]valores86'!$AL15</f>
        <v>0</v>
      </c>
      <c r="T7" s="38">
        <f>'[2]valores86'!T15/'[2]valores86'!$AL15</f>
        <v>0</v>
      </c>
      <c r="U7" s="38">
        <f>'[2]valores86'!U15/'[2]valores86'!$AL15</f>
        <v>0</v>
      </c>
      <c r="V7" s="38">
        <f>'[2]valores86'!V15/'[2]valores86'!$AL15</f>
        <v>0</v>
      </c>
      <c r="W7" s="38">
        <f>'[2]valores86'!W15/'[2]valores86'!$AL15</f>
        <v>0.0001587133636652206</v>
      </c>
      <c r="X7" s="38">
        <f>'[2]valores86'!X15/'[2]valores86'!$AL15</f>
        <v>0.00033153458187846086</v>
      </c>
      <c r="Y7" s="38">
        <f>'[2]valores86'!Y15/'[2]valores86'!$AL15</f>
        <v>0.0005537332910097697</v>
      </c>
      <c r="Z7" s="38">
        <f>'[2]valores86'!Z15/'[2]valores86'!$AL15</f>
        <v>0.00017282121821324023</v>
      </c>
      <c r="AA7" s="40">
        <f>'[2]valores86'!AA15/'[2]valores86'!$AL15</f>
        <v>0.06319966141149085</v>
      </c>
      <c r="AB7" s="38">
        <f>'[2]valores86'!AB15/'[2]valores86'!$AL15</f>
        <v>0.06628222763023313</v>
      </c>
      <c r="AC7" s="38">
        <f>'[2]valores86'!AC15/'[2]valores86'!$AL15</f>
        <v>0</v>
      </c>
      <c r="AD7" s="38">
        <f>'[2]valores86'!AD15/'[2]valores86'!$AL15</f>
        <v>0</v>
      </c>
      <c r="AE7" s="38">
        <f>'[2]valores86'!AE15/'[2]valores86'!$AL15</f>
        <v>0.02660388671392798</v>
      </c>
      <c r="AF7" s="38">
        <f>'[2]valores86'!AF15/'[2]valores86'!$AL15</f>
        <v>0.02660388671392798</v>
      </c>
      <c r="AG7" s="38">
        <f>'[2]valores86'!AG15/'[2]valores86'!$AL15</f>
        <v>0.843914224244348</v>
      </c>
      <c r="AH7" s="38">
        <f>'[2]valores86'!AH15/'[2]valores86'!$AL15</f>
        <v>0.7322364476422247</v>
      </c>
      <c r="AI7" s="38">
        <f>'[2]valores86'!AI15/'[2]valores86'!$AL15</f>
        <v>0.1069093217648926</v>
      </c>
      <c r="AJ7" s="38">
        <f>'[2]valores86'!AJ15/'[2]valores86'!$AL15</f>
        <v>0.004768454837230628</v>
      </c>
      <c r="AK7" s="40">
        <f>'[2]valores86'!AK15/'[2]valores86'!$AL15</f>
        <v>0.9368003385885091</v>
      </c>
      <c r="AL7" s="41">
        <f>'[2]valores86'!AL15/'[2]valores86'!$AL15</f>
        <v>1</v>
      </c>
    </row>
    <row r="8" spans="1:38" ht="15.75" customHeight="1">
      <c r="A8" s="76">
        <v>4</v>
      </c>
      <c r="B8" s="37" t="s">
        <v>27</v>
      </c>
      <c r="C8" s="38">
        <f>'[2]valores86'!C19/'[2]valores86'!$AL19</f>
        <v>0</v>
      </c>
      <c r="D8" s="38">
        <f>'[2]valores86'!D19/'[2]valores86'!$AL19</f>
        <v>0</v>
      </c>
      <c r="E8" s="38">
        <f>'[2]valores86'!E19/'[2]valores86'!$AL19</f>
        <v>0</v>
      </c>
      <c r="F8" s="38">
        <f>'[2]valores86'!F19/'[2]valores86'!$AL19</f>
        <v>0.09493873272170447</v>
      </c>
      <c r="G8" s="38">
        <f>'[2]valores86'!G19/'[2]valores86'!$AL19</f>
        <v>0</v>
      </c>
      <c r="H8" s="38">
        <f>'[2]valores86'!H19/'[2]valores86'!$AL19</f>
        <v>0</v>
      </c>
      <c r="I8" s="38">
        <f>'[2]valores86'!I19/'[2]valores86'!$AL19</f>
        <v>0</v>
      </c>
      <c r="J8" s="38">
        <f>'[2]valores86'!J19/'[2]valores86'!$AL19</f>
        <v>0</v>
      </c>
      <c r="K8" s="38">
        <f>'[2]valores86'!K19/'[2]valores86'!$AL19</f>
        <v>0</v>
      </c>
      <c r="L8" s="38">
        <f>'[2]valores86'!L19/'[2]valores86'!$AL19</f>
        <v>0</v>
      </c>
      <c r="M8" s="38">
        <f>'[2]valores86'!M19/'[2]valores86'!$AL19</f>
        <v>0</v>
      </c>
      <c r="N8" s="38">
        <f>'[2]valores86'!N19/'[2]valores86'!$AL19</f>
        <v>0</v>
      </c>
      <c r="O8" s="38">
        <f>'[2]valores86'!O19/'[2]valores86'!$AL19</f>
        <v>0</v>
      </c>
      <c r="P8" s="38">
        <f>'[2]valores86'!P19/'[2]valores86'!$AL19</f>
        <v>0</v>
      </c>
      <c r="Q8" s="38">
        <f>'[2]valores86'!Q19/'[2]valores86'!$AL19</f>
        <v>0</v>
      </c>
      <c r="R8" s="38">
        <f>'[2]valores86'!R19/'[2]valores86'!$AL19</f>
        <v>0.11551280233926611</v>
      </c>
      <c r="S8" s="38">
        <f>'[2]valores86'!S19/'[2]valores86'!$AL19</f>
        <v>0</v>
      </c>
      <c r="T8" s="38">
        <f>'[2]valores86'!T19/'[2]valores86'!$AL19</f>
        <v>0</v>
      </c>
      <c r="U8" s="38">
        <f>'[2]valores86'!U19/'[2]valores86'!$AL19</f>
        <v>0</v>
      </c>
      <c r="V8" s="38">
        <f>'[2]valores86'!V19/'[2]valores86'!$AL19</f>
        <v>2.3076187681931015E-05</v>
      </c>
      <c r="W8" s="38">
        <f>'[2]valores86'!W19/'[2]valores86'!$AL19</f>
        <v>0.00015164351905268953</v>
      </c>
      <c r="X8" s="38">
        <f>'[2]valores86'!X19/'[2]valores86'!$AL19</f>
        <v>0.00019120269793599984</v>
      </c>
      <c r="Y8" s="38">
        <f>'[2]valores86'!Y19/'[2]valores86'!$AL19</f>
        <v>0.0006626162462954478</v>
      </c>
      <c r="Z8" s="38">
        <f>'[2]valores86'!Z19/'[2]valores86'!$AL19</f>
        <v>0.000563718299087172</v>
      </c>
      <c r="AA8" s="40">
        <f>'[2]valores86'!AA19/'[2]valores86'!$AL19</f>
        <v>0.21204379201102383</v>
      </c>
      <c r="AB8" s="38">
        <f>'[2]valores86'!AB19/'[2]valores86'!$AL19</f>
        <v>0.27199243101044035</v>
      </c>
      <c r="AC8" s="38">
        <f>'[2]valores86'!AC19/'[2]valores86'!$AL19</f>
        <v>0</v>
      </c>
      <c r="AD8" s="38">
        <f>'[2]valores86'!AD19/'[2]valores86'!$AL19</f>
        <v>0</v>
      </c>
      <c r="AE8" s="38">
        <f>'[2]valores86'!AE19/'[2]valores86'!$AL19</f>
        <v>0.013380892257279713</v>
      </c>
      <c r="AF8" s="38">
        <f>'[2]valores86'!AF19/'[2]valores86'!$AL19</f>
        <v>0.013380892257279713</v>
      </c>
      <c r="AG8" s="38">
        <f>'[2]valores86'!AG19/'[2]valores86'!$AL19</f>
        <v>0.5025828847212561</v>
      </c>
      <c r="AH8" s="38">
        <f>'[2]valores86'!AH19/'[2]valores86'!$AL19</f>
        <v>0.2640838918320185</v>
      </c>
      <c r="AI8" s="38">
        <f>'[2]valores86'!AI19/'[2]valores86'!$AL19</f>
        <v>0.19487840497390743</v>
      </c>
      <c r="AJ8" s="38">
        <f>'[2]valores86'!AJ19/'[2]valores86'!$AL19</f>
        <v>0.043620587915330175</v>
      </c>
      <c r="AK8" s="40">
        <f>'[2]valores86'!AK19/'[2]valores86'!$AL19</f>
        <v>0.7879562079889761</v>
      </c>
      <c r="AL8" s="41">
        <f>'[2]valores86'!AL19/'[2]valores86'!$AL19</f>
        <v>1</v>
      </c>
    </row>
    <row r="9" spans="1:38" ht="15.75" customHeight="1">
      <c r="A9" s="76">
        <v>5</v>
      </c>
      <c r="B9" s="37" t="s">
        <v>28</v>
      </c>
      <c r="C9" s="38">
        <f>'[2]valores86'!C23/'[2]valores86'!$AL23</f>
        <v>0.0015745497895325409</v>
      </c>
      <c r="D9" s="38">
        <f>'[2]valores86'!D23/'[2]valores86'!$AL23</f>
        <v>0.0009468398231862347</v>
      </c>
      <c r="E9" s="38">
        <f>'[2]valores86'!E23/'[2]valores86'!$AL23</f>
        <v>2.1099494667102726E-05</v>
      </c>
      <c r="F9" s="38">
        <f>'[2]valores86'!F23/'[2]valores86'!$AL23</f>
        <v>0.0001107723470022893</v>
      </c>
      <c r="G9" s="38">
        <f>'[2]valores86'!G23/'[2]valores86'!$AL23</f>
        <v>0.10040194537340831</v>
      </c>
      <c r="H9" s="38">
        <f>'[2]valores86'!H23/'[2]valores86'!$AL23</f>
        <v>0.0001503338995031069</v>
      </c>
      <c r="I9" s="38">
        <f>'[2]valores86'!I23/'[2]valores86'!$AL23</f>
        <v>0.011673295424574582</v>
      </c>
      <c r="J9" s="38">
        <f>'[2]valores86'!J23/'[2]valores86'!$AL23</f>
        <v>0.00011604722066906499</v>
      </c>
      <c r="K9" s="38">
        <f>'[2]valores86'!K23/'[2]valores86'!$AL23</f>
        <v>0</v>
      </c>
      <c r="L9" s="38">
        <f>'[2]valores86'!L23/'[2]valores86'!$AL23</f>
        <v>0.0002611062465053962</v>
      </c>
      <c r="M9" s="38">
        <f>'[2]valores86'!M23/'[2]valores86'!$AL23</f>
        <v>0.0034286678834041925</v>
      </c>
      <c r="N9" s="38">
        <f>'[2]valores86'!N23/'[2]valores86'!$AL23</f>
        <v>0.00532498496661005</v>
      </c>
      <c r="O9" s="38">
        <f>'[2]valores86'!O23/'[2]valores86'!$AL23</f>
        <v>0.039970355209992724</v>
      </c>
      <c r="P9" s="38">
        <f>'[2]valores86'!P23/'[2]valores86'!$AL23</f>
        <v>0.00010022259966873793</v>
      </c>
      <c r="Q9" s="38">
        <f>'[2]valores86'!Q23/'[2]valores86'!$AL23</f>
        <v>0.0015745497895325409</v>
      </c>
      <c r="R9" s="38">
        <f>'[2]valores86'!R23/'[2]valores86'!$AL23</f>
        <v>0.004953106373102365</v>
      </c>
      <c r="S9" s="38">
        <f>'[2]valores86'!S23/'[2]valores86'!$AL23</f>
        <v>0.0009521146968530104</v>
      </c>
      <c r="T9" s="38">
        <f>'[2]valores86'!T23/'[2]valores86'!$AL23</f>
        <v>0.00021890725717119077</v>
      </c>
      <c r="U9" s="38">
        <f>'[2]valores86'!U23/'[2]valores86'!$AL23</f>
        <v>0</v>
      </c>
      <c r="V9" s="38">
        <f>'[2]valores86'!V23/'[2]valores86'!$AL23</f>
        <v>0.00030330523583960167</v>
      </c>
      <c r="W9" s="38">
        <f>'[2]valores86'!W23/'[2]valores86'!$AL23</f>
        <v>0.0030567892898965073</v>
      </c>
      <c r="X9" s="38">
        <f>'[2]valores86'!X23/'[2]valores86'!$AL23</f>
        <v>7.648566816824737E-05</v>
      </c>
      <c r="Y9" s="38">
        <f>'[2]valores86'!Y23/'[2]valores86'!$AL23</f>
        <v>0.002840519469558704</v>
      </c>
      <c r="Z9" s="38">
        <f>'[2]valores86'!Z23/'[2]valores86'!$AL23</f>
        <v>0.0010549747333551361</v>
      </c>
      <c r="AA9" s="40">
        <f>'[2]valores86'!AA23/'[2]valores86'!$AL23</f>
        <v>0.17911097279220164</v>
      </c>
      <c r="AB9" s="38">
        <f>'[2]valores86'!AB23/'[2]valores86'!$AL23</f>
        <v>0.4346311280844824</v>
      </c>
      <c r="AC9" s="38">
        <f>'[2]valores86'!AC23/'[2]valores86'!$AL23</f>
        <v>0</v>
      </c>
      <c r="AD9" s="38">
        <f>'[2]valores86'!AD23/'[2]valores86'!$AL23</f>
        <v>0</v>
      </c>
      <c r="AE9" s="38">
        <f>'[2]valores86'!AE23/'[2]valores86'!$AL23</f>
        <v>0.002249733618879828</v>
      </c>
      <c r="AF9" s="38">
        <f>'[2]valores86'!AF23/'[2]valores86'!$AL23</f>
        <v>0.002249733618879828</v>
      </c>
      <c r="AG9" s="38">
        <f>'[2]valores86'!AG23/'[2]valores86'!$AL23</f>
        <v>0.38400816550443617</v>
      </c>
      <c r="AH9" s="38">
        <f>'[2]valores86'!AH23/'[2]valores86'!$AL23</f>
        <v>0.32778856196394096</v>
      </c>
      <c r="AI9" s="38">
        <f>'[2]valores86'!AI23/'[2]valores86'!$AL23</f>
        <v>0.05261158995242064</v>
      </c>
      <c r="AJ9" s="38">
        <f>'[2]valores86'!AJ23/'[2]valores86'!$AL23</f>
        <v>0.0036080135880745662</v>
      </c>
      <c r="AK9" s="40">
        <f>'[2]valores86'!AK23/'[2]valores86'!$AL23</f>
        <v>0.8208890272077984</v>
      </c>
      <c r="AL9" s="41">
        <f>'[2]valores86'!AL23/'[2]valores86'!$AL23</f>
        <v>1</v>
      </c>
    </row>
    <row r="10" spans="1:38" ht="15.75" customHeight="1">
      <c r="A10" s="76">
        <v>6</v>
      </c>
      <c r="B10" s="37" t="s">
        <v>62</v>
      </c>
      <c r="C10" s="38">
        <f>'[2]valores86'!C27/'[2]valores86'!$AL27</f>
        <v>9.525609293307338E-05</v>
      </c>
      <c r="D10" s="38">
        <f>'[2]valores86'!D27/'[2]valores86'!$AL27</f>
        <v>0.010567280761188366</v>
      </c>
      <c r="E10" s="38">
        <f>'[2]valores86'!E27/'[2]valores86'!$AL27</f>
        <v>0.0027777905810160756</v>
      </c>
      <c r="F10" s="38">
        <f>'[2]valores86'!F27/'[2]valores86'!$AL27</f>
        <v>0.001249083928299817</v>
      </c>
      <c r="G10" s="38">
        <f>'[2]valores86'!G27/'[2]valores86'!$AL27</f>
        <v>0.001301321140553438</v>
      </c>
      <c r="H10" s="38">
        <f>'[2]valores86'!H27/'[2]valores86'!$AL27</f>
        <v>0.25117648956715327</v>
      </c>
      <c r="I10" s="38">
        <f>'[2]valores86'!I27/'[2]valores86'!$AL27</f>
        <v>0.01438674281008547</v>
      </c>
      <c r="J10" s="38">
        <f>'[2]valores86'!J27/'[2]valores86'!$AL27</f>
        <v>0.001685418289477121</v>
      </c>
      <c r="K10" s="38">
        <f>'[2]valores86'!K27/'[2]valores86'!$AL27</f>
        <v>0.006124044942439202</v>
      </c>
      <c r="L10" s="38">
        <f>'[2]valores86'!L27/'[2]valores86'!$AL27</f>
        <v>0.0032678985430426946</v>
      </c>
      <c r="M10" s="38">
        <f>'[2]valores86'!M27/'[2]valores86'!$AL27</f>
        <v>0.008064503738801647</v>
      </c>
      <c r="N10" s="38">
        <f>'[2]valores86'!N27/'[2]valores86'!$AL27</f>
        <v>0.004521591637129597</v>
      </c>
      <c r="O10" s="38">
        <f>'[2]valores86'!O27/'[2]valores86'!$AL27</f>
        <v>0.008253479536072101</v>
      </c>
      <c r="P10" s="38">
        <f>'[2]valores86'!P27/'[2]valores86'!$AL27</f>
        <v>0.0003533693770097883</v>
      </c>
      <c r="Q10" s="38">
        <f>'[2]valores86'!Q27/'[2]valores86'!$AL27</f>
        <v>0.0017883563253886681</v>
      </c>
      <c r="R10" s="38">
        <f>'[2]valores86'!R27/'[2]valores86'!$AL27</f>
        <v>0.0073915655338873554</v>
      </c>
      <c r="S10" s="38">
        <f>'[2]valores86'!S27/'[2]valores86'!$AL27</f>
        <v>0.002123289039250119</v>
      </c>
      <c r="T10" s="38">
        <f>'[2]valores86'!T27/'[2]valores86'!$AL27</f>
        <v>0.0062085463152024125</v>
      </c>
      <c r="U10" s="38">
        <f>'[2]valores86'!U27/'[2]valores86'!$AL27</f>
        <v>0</v>
      </c>
      <c r="V10" s="38">
        <f>'[2]valores86'!V27/'[2]valores86'!$AL27</f>
        <v>0.01392275345418566</v>
      </c>
      <c r="W10" s="38">
        <f>'[2]valores86'!W27/'[2]valores86'!$AL27</f>
        <v>0.005200675396426668</v>
      </c>
      <c r="X10" s="38">
        <f>'[2]valores86'!X27/'[2]valores86'!$AL27</f>
        <v>0.004733613263335469</v>
      </c>
      <c r="Y10" s="38">
        <f>'[2]valores86'!Y27/'[2]valores86'!$AL27</f>
        <v>0.0017161460613910155</v>
      </c>
      <c r="Z10" s="38">
        <f>'[2]valores86'!Z27/'[2]valores86'!$AL27</f>
        <v>0.0034937476666098205</v>
      </c>
      <c r="AA10" s="40">
        <f>'[2]valores86'!AA27/'[2]valores86'!$AL27</f>
        <v>0.36040296400087884</v>
      </c>
      <c r="AB10" s="38">
        <f>'[2]valores86'!AB27/'[2]valores86'!$AL27</f>
        <v>0.050098559328413825</v>
      </c>
      <c r="AC10" s="38">
        <f>'[2]valores86'!AC27/'[2]valores86'!$AL27</f>
        <v>0</v>
      </c>
      <c r="AD10" s="38">
        <f>'[2]valores86'!AD27/'[2]valores86'!$AL27</f>
        <v>0.00047474407606967213</v>
      </c>
      <c r="AE10" s="38">
        <f>'[2]valores86'!AE27/'[2]valores86'!$AL27</f>
        <v>0.006116362999460728</v>
      </c>
      <c r="AF10" s="38">
        <f>'[2]valores86'!AF27/'[2]valores86'!$AL27</f>
        <v>0.0065911070755304</v>
      </c>
      <c r="AG10" s="38">
        <f>'[2]valores86'!AG27/'[2]valores86'!$AL27</f>
        <v>0.582907369595177</v>
      </c>
      <c r="AH10" s="38">
        <f>'[2]valores86'!AH27/'[2]valores86'!$AL27</f>
        <v>0.3578110764399418</v>
      </c>
      <c r="AI10" s="38">
        <f>'[2]valores86'!AI27/'[2]valores86'!$AL27</f>
        <v>0.17607474223240335</v>
      </c>
      <c r="AJ10" s="38">
        <f>'[2]valores86'!AJ27/'[2]valores86'!$AL27</f>
        <v>0.04902155092283181</v>
      </c>
      <c r="AK10" s="40">
        <f>'[2]valores86'!AK27/'[2]valores86'!$AL27</f>
        <v>0.6395970359991212</v>
      </c>
      <c r="AL10" s="41">
        <f>'[2]valores86'!AL27/'[2]valores86'!$AL27</f>
        <v>1</v>
      </c>
    </row>
    <row r="11" spans="1:38" ht="15.75" customHeight="1">
      <c r="A11" s="76">
        <v>7</v>
      </c>
      <c r="B11" s="37" t="s">
        <v>63</v>
      </c>
      <c r="C11" s="38">
        <f>'[2]valores86'!C31/'[2]valores86'!$AL31</f>
        <v>0.06657138190983523</v>
      </c>
      <c r="D11" s="38">
        <f>'[2]valores86'!D31/'[2]valores86'!$AL31</f>
        <v>0.007503154487173486</v>
      </c>
      <c r="E11" s="38">
        <f>'[2]valores86'!E31/'[2]valores86'!$AL31</f>
        <v>0.0004233722274060182</v>
      </c>
      <c r="F11" s="38">
        <f>'[2]valores86'!F31/'[2]valores86'!$AL31</f>
        <v>0.0063214570662073035</v>
      </c>
      <c r="G11" s="38">
        <f>'[2]valores86'!G31/'[2]valores86'!$AL31</f>
        <v>0.01809786243835357</v>
      </c>
      <c r="H11" s="38">
        <f>'[2]valores86'!H31/'[2]valores86'!$AL31</f>
        <v>0.025562528541217423</v>
      </c>
      <c r="I11" s="38">
        <f>'[2]valores86'!I31/'[2]valores86'!$AL31</f>
        <v>0.1574851065556121</v>
      </c>
      <c r="J11" s="38">
        <f>'[2]valores86'!J31/'[2]valores86'!$AL31</f>
        <v>0.009093660963104204</v>
      </c>
      <c r="K11" s="38">
        <f>'[2]valores86'!K31/'[2]valores86'!$AL31</f>
        <v>0.000581486671056423</v>
      </c>
      <c r="L11" s="38">
        <f>'[2]valores86'!L31/'[2]valores86'!$AL31</f>
        <v>0.006661611165376266</v>
      </c>
      <c r="M11" s="38">
        <f>'[2]valores86'!M31/'[2]valores86'!$AL31</f>
        <v>0.07070732288321689</v>
      </c>
      <c r="N11" s="38">
        <f>'[2]valores86'!N31/'[2]valores86'!$AL31</f>
        <v>0.02355905210391032</v>
      </c>
      <c r="O11" s="38">
        <f>'[2]valores86'!O31/'[2]valores86'!$AL31</f>
        <v>0.017855489639863147</v>
      </c>
      <c r="P11" s="38">
        <f>'[2]valores86'!P31/'[2]valores86'!$AL31</f>
        <v>0.0010339852433454105</v>
      </c>
      <c r="Q11" s="38">
        <f>'[2]valores86'!Q31/'[2]valores86'!$AL31</f>
        <v>0.013998329396075643</v>
      </c>
      <c r="R11" s="38">
        <f>'[2]valores86'!R31/'[2]valores86'!$AL31</f>
        <v>0.011555877332318073</v>
      </c>
      <c r="S11" s="38">
        <f>'[2]valores86'!S31/'[2]valores86'!$AL31</f>
        <v>0.006287129588309517</v>
      </c>
      <c r="T11" s="38">
        <f>'[2]valores86'!T31/'[2]valores86'!$AL31</f>
        <v>0.00022260849303412254</v>
      </c>
      <c r="U11" s="38">
        <f>'[2]valores86'!U31/'[2]valores86'!$AL31</f>
        <v>0</v>
      </c>
      <c r="V11" s="38">
        <f>'[2]valores86'!V31/'[2]valores86'!$AL31</f>
        <v>0.0022344067431649315</v>
      </c>
      <c r="W11" s="38">
        <f>'[2]valores86'!W31/'[2]valores86'!$AL31</f>
        <v>0.0015873857961218273</v>
      </c>
      <c r="X11" s="38">
        <f>'[2]valores86'!X31/'[2]valores86'!$AL31</f>
        <v>0.0002288498526519017</v>
      </c>
      <c r="Y11" s="38">
        <f>'[2]valores86'!Y31/'[2]valores86'!$AL31</f>
        <v>0.030930097812507478</v>
      </c>
      <c r="Z11" s="38">
        <f>'[2]valores86'!Z31/'[2]valores86'!$AL31</f>
        <v>0.0017975115699203916</v>
      </c>
      <c r="AA11" s="40">
        <f>'[2]valores86'!AA31/'[2]valores86'!$AL31</f>
        <v>0.48029966847978167</v>
      </c>
      <c r="AB11" s="38">
        <f>'[2]valores86'!AB31/'[2]valores86'!$AL31</f>
        <v>0.10932469529162234</v>
      </c>
      <c r="AC11" s="38">
        <f>'[2]valores86'!AC31/'[2]valores86'!$AL31</f>
        <v>0</v>
      </c>
      <c r="AD11" s="38">
        <f>'[2]valores86'!AD31/'[2]valores86'!$AL31</f>
        <v>0</v>
      </c>
      <c r="AE11" s="38">
        <f>'[2]valores86'!AE31/'[2]valores86'!$AL31</f>
        <v>0.006666812298391082</v>
      </c>
      <c r="AF11" s="38">
        <f>'[2]valores86'!AF31/'[2]valores86'!$AL31</f>
        <v>0.006666812298391082</v>
      </c>
      <c r="AG11" s="38">
        <f>'[2]valores86'!AG31/'[2]valores86'!$AL31</f>
        <v>0.40370882393020496</v>
      </c>
      <c r="AH11" s="38">
        <f>'[2]valores86'!AH31/'[2]valores86'!$AL31</f>
        <v>0.3143367151100196</v>
      </c>
      <c r="AI11" s="38">
        <f>'[2]valores86'!AI31/'[2]valores86'!$AL31</f>
        <v>0.07345560156824563</v>
      </c>
      <c r="AJ11" s="38">
        <f>'[2]valores86'!AJ31/'[2]valores86'!$AL31</f>
        <v>0.015916507251939764</v>
      </c>
      <c r="AK11" s="40">
        <f>'[2]valores86'!AK31/'[2]valores86'!$AL31</f>
        <v>0.5197003315202184</v>
      </c>
      <c r="AL11" s="41">
        <f>'[2]valores86'!AL31/'[2]valores86'!$AL31</f>
        <v>1</v>
      </c>
    </row>
    <row r="12" spans="1:38" ht="15.75" customHeight="1">
      <c r="A12" s="76">
        <v>8</v>
      </c>
      <c r="B12" s="37" t="s">
        <v>64</v>
      </c>
      <c r="C12" s="38">
        <f>'[2]valores86'!C35/'[2]valores86'!$AL35</f>
        <v>0.0002519334302959477</v>
      </c>
      <c r="D12" s="38">
        <f>'[2]valores86'!D35/'[2]valores86'!$AL35</f>
        <v>0.016352385005091598</v>
      </c>
      <c r="E12" s="38">
        <f>'[2]valores86'!E35/'[2]valores86'!$AL35</f>
        <v>0.004354849295115667</v>
      </c>
      <c r="F12" s="38">
        <f>'[2]valores86'!F35/'[2]valores86'!$AL35</f>
        <v>0.011584703618314504</v>
      </c>
      <c r="G12" s="38">
        <f>'[2]valores86'!G35/'[2]valores86'!$AL35</f>
        <v>0</v>
      </c>
      <c r="H12" s="38">
        <f>'[2]valores86'!H35/'[2]valores86'!$AL35</f>
        <v>0</v>
      </c>
      <c r="I12" s="38">
        <f>'[2]valores86'!I35/'[2]valores86'!$AL35</f>
        <v>0.01138993155455629</v>
      </c>
      <c r="J12" s="38">
        <f>'[2]valores86'!J35/'[2]valores86'!$AL35</f>
        <v>0.14409745377868388</v>
      </c>
      <c r="K12" s="38">
        <f>'[2]valores86'!K35/'[2]valores86'!$AL35</f>
        <v>0.004718988370837542</v>
      </c>
      <c r="L12" s="38">
        <f>'[2]valores86'!L35/'[2]valores86'!$AL35</f>
        <v>0.001035255860627886</v>
      </c>
      <c r="M12" s="38">
        <f>'[2]valores86'!M35/'[2]valores86'!$AL35</f>
        <v>0.00758340796067298</v>
      </c>
      <c r="N12" s="38">
        <f>'[2]valores86'!N35/'[2]valores86'!$AL35</f>
        <v>0.027200342121364168</v>
      </c>
      <c r="O12" s="38">
        <f>'[2]valores86'!O35/'[2]valores86'!$AL35</f>
        <v>0.0018842080080957433</v>
      </c>
      <c r="P12" s="38">
        <f>'[2]valores86'!P35/'[2]valores86'!$AL35</f>
        <v>0.0041092671277683564</v>
      </c>
      <c r="Q12" s="38">
        <f>'[2]valores86'!Q35/'[2]valores86'!$AL35</f>
        <v>0.29114401065318507</v>
      </c>
      <c r="R12" s="38">
        <f>'[2]valores86'!R35/'[2]valores86'!$AL35</f>
        <v>0.003239144103805042</v>
      </c>
      <c r="S12" s="38">
        <f>'[2]valores86'!S35/'[2]valores86'!$AL35</f>
        <v>0.0002794555697400428</v>
      </c>
      <c r="T12" s="38">
        <f>'[2]valores86'!T35/'[2]valores86'!$AL35</f>
        <v>8.468350598183116E-06</v>
      </c>
      <c r="U12" s="38">
        <f>'[2]valores86'!U35/'[2]valores86'!$AL35</f>
        <v>0</v>
      </c>
      <c r="V12" s="38">
        <f>'[2]valores86'!V35/'[2]valores86'!$AL35</f>
        <v>0.00034720237452550773</v>
      </c>
      <c r="W12" s="38">
        <f>'[2]valores86'!W35/'[2]valores86'!$AL35</f>
        <v>0.0004382371434559762</v>
      </c>
      <c r="X12" s="38">
        <f>'[2]valores86'!X35/'[2]valores86'!$AL35</f>
        <v>1.2702525897274673E-05</v>
      </c>
      <c r="Y12" s="38">
        <f>'[2]valores86'!Y35/'[2]valores86'!$AL35</f>
        <v>0.0010267875100297029</v>
      </c>
      <c r="Z12" s="38">
        <f>'[2]valores86'!Z35/'[2]valores86'!$AL35</f>
        <v>8.468350598183116E-05</v>
      </c>
      <c r="AA12" s="40">
        <f>'[2]valores86'!AA35/'[2]valores86'!$AL35</f>
        <v>0.5311434178686433</v>
      </c>
      <c r="AB12" s="38">
        <f>'[2]valores86'!AB35/'[2]valores86'!$AL35</f>
        <v>0.011271374646181727</v>
      </c>
      <c r="AC12" s="38">
        <f>'[2]valores86'!AC35/'[2]valores86'!$AL35</f>
        <v>0</v>
      </c>
      <c r="AD12" s="38">
        <f>'[2]valores86'!AD35/'[2]valores86'!$AL35</f>
        <v>0</v>
      </c>
      <c r="AE12" s="38">
        <f>'[2]valores86'!AE35/'[2]valores86'!$AL35</f>
        <v>0.00032603149803005</v>
      </c>
      <c r="AF12" s="38">
        <f>'[2]valores86'!AF35/'[2]valores86'!$AL35</f>
        <v>0.00032603149803005</v>
      </c>
      <c r="AG12" s="38">
        <f>'[2]valores86'!AG35/'[2]valores86'!$AL35</f>
        <v>0.45725917598714505</v>
      </c>
      <c r="AH12" s="38">
        <f>'[2]valores86'!AH35/'[2]valores86'!$AL35</f>
        <v>0.3873995177274335</v>
      </c>
      <c r="AI12" s="38">
        <f>'[2]valores86'!AI35/'[2]valores86'!$AL35</f>
        <v>0.0636714110600893</v>
      </c>
      <c r="AJ12" s="38">
        <f>'[2]valores86'!AJ35/'[2]valores86'!$AL35</f>
        <v>0.006188247199622312</v>
      </c>
      <c r="AK12" s="40">
        <f>'[2]valores86'!AK35/'[2]valores86'!$AL35</f>
        <v>0.46885658213135684</v>
      </c>
      <c r="AL12" s="41">
        <f>'[2]valores86'!AL35/'[2]valores86'!$AL35</f>
        <v>1</v>
      </c>
    </row>
    <row r="13" spans="1:38" ht="15.75" customHeight="1">
      <c r="A13" s="76">
        <v>9</v>
      </c>
      <c r="B13" s="37" t="s">
        <v>32</v>
      </c>
      <c r="C13" s="38">
        <f>'[2]valores86'!C39/'[2]valores86'!$AL39</f>
        <v>0</v>
      </c>
      <c r="D13" s="38">
        <f>'[2]valores86'!D39/'[2]valores86'!$AL39</f>
        <v>0</v>
      </c>
      <c r="E13" s="38">
        <f>'[2]valores86'!E39/'[2]valores86'!$AL39</f>
        <v>0</v>
      </c>
      <c r="F13" s="38">
        <f>'[2]valores86'!F39/'[2]valores86'!$AL39</f>
        <v>0</v>
      </c>
      <c r="G13" s="38">
        <f>'[2]valores86'!G39/'[2]valores86'!$AL39</f>
        <v>0</v>
      </c>
      <c r="H13" s="38">
        <f>'[2]valores86'!H39/'[2]valores86'!$AL39</f>
        <v>0.00010811059644267313</v>
      </c>
      <c r="I13" s="38">
        <f>'[2]valores86'!I39/'[2]valores86'!$AL39</f>
        <v>0.0016356087010197967</v>
      </c>
      <c r="J13" s="38">
        <f>'[2]valores86'!J39/'[2]valores86'!$AL39</f>
        <v>0.006112782369184434</v>
      </c>
      <c r="K13" s="38">
        <f>'[2]valores86'!K39/'[2]valores86'!$AL39</f>
        <v>0.298471037171213</v>
      </c>
      <c r="L13" s="38">
        <f>'[2]valores86'!L39/'[2]valores86'!$AL39</f>
        <v>0.0642797706939375</v>
      </c>
      <c r="M13" s="38">
        <f>'[2]valores86'!M39/'[2]valores86'!$AL39</f>
        <v>0.11132322487631799</v>
      </c>
      <c r="N13" s="38">
        <f>'[2]valores86'!N39/'[2]valores86'!$AL39</f>
        <v>0.03905163989825049</v>
      </c>
      <c r="O13" s="38">
        <f>'[2]valores86'!O39/'[2]valores86'!$AL39</f>
        <v>0.01040233184094211</v>
      </c>
      <c r="P13" s="38">
        <f>'[2]valores86'!P39/'[2]valores86'!$AL39</f>
        <v>7.672364908834867E-05</v>
      </c>
      <c r="Q13" s="38">
        <f>'[2]valores86'!Q39/'[2]valores86'!$AL39</f>
        <v>0.03173708618925492</v>
      </c>
      <c r="R13" s="38">
        <f>'[2]valores86'!R39/'[2]valores86'!$AL39</f>
        <v>0</v>
      </c>
      <c r="S13" s="38">
        <f>'[2]valores86'!S39/'[2]valores86'!$AL39</f>
        <v>0.00014368247011090752</v>
      </c>
      <c r="T13" s="38">
        <f>'[2]valores86'!T39/'[2]valores86'!$AL39</f>
        <v>0</v>
      </c>
      <c r="U13" s="38">
        <f>'[2]valores86'!U39/'[2]valores86'!$AL39</f>
        <v>0</v>
      </c>
      <c r="V13" s="38">
        <f>'[2]valores86'!V39/'[2]valores86'!$AL39</f>
        <v>0</v>
      </c>
      <c r="W13" s="38">
        <f>'[2]valores86'!W39/'[2]valores86'!$AL39</f>
        <v>0.00010043823153383826</v>
      </c>
      <c r="X13" s="38">
        <f>'[2]valores86'!X39/'[2]valores86'!$AL39</f>
        <v>0</v>
      </c>
      <c r="Y13" s="38">
        <f>'[2]valores86'!Y39/'[2]valores86'!$AL39</f>
        <v>0</v>
      </c>
      <c r="Z13" s="38">
        <f>'[2]valores86'!Z39/'[2]valores86'!$AL39</f>
        <v>0</v>
      </c>
      <c r="AA13" s="40">
        <f>'[2]valores86'!AA39/'[2]valores86'!$AL39</f>
        <v>0.563442436687296</v>
      </c>
      <c r="AB13" s="38">
        <f>'[2]valores86'!AB39/'[2]valores86'!$AL39</f>
        <v>0</v>
      </c>
      <c r="AC13" s="38">
        <f>'[2]valores86'!AC39/'[2]valores86'!$AL39</f>
        <v>0</v>
      </c>
      <c r="AD13" s="38">
        <f>'[2]valores86'!AD39/'[2]valores86'!$AL39</f>
        <v>0</v>
      </c>
      <c r="AE13" s="38">
        <f>'[2]valores86'!AE39/'[2]valores86'!$AL39</f>
        <v>0.06959671957576007</v>
      </c>
      <c r="AF13" s="38">
        <f>'[2]valores86'!AF39/'[2]valores86'!$AL39</f>
        <v>0.06959671957576007</v>
      </c>
      <c r="AG13" s="38">
        <f>'[2]valores86'!AG39/'[2]valores86'!$AL39</f>
        <v>0.3669608437369439</v>
      </c>
      <c r="AH13" s="38">
        <f>'[2]valores86'!AH39/'[2]valores86'!$AL39</f>
        <v>0.3112608694742407</v>
      </c>
      <c r="AI13" s="38">
        <f>'[2]valores86'!AI39/'[2]valores86'!$AL39</f>
        <v>0.04454993558700915</v>
      </c>
      <c r="AJ13" s="38">
        <f>'[2]valores86'!AJ39/'[2]valores86'!$AL39</f>
        <v>0.011150038675694016</v>
      </c>
      <c r="AK13" s="40">
        <f>'[2]valores86'!AK39/'[2]valores86'!$AL39</f>
        <v>0.43655756331270396</v>
      </c>
      <c r="AL13" s="41">
        <f>'[2]valores86'!AL39/'[2]valores86'!$AL39</f>
        <v>1</v>
      </c>
    </row>
    <row r="14" spans="1:38" ht="15.75" customHeight="1">
      <c r="A14" s="76">
        <v>10</v>
      </c>
      <c r="B14" s="37" t="s">
        <v>65</v>
      </c>
      <c r="C14" s="38">
        <f>'[2]valores86'!C43/'[2]valores86'!$AL43</f>
        <v>0.00028589962280469935</v>
      </c>
      <c r="D14" s="38">
        <f>'[2]valores86'!D43/'[2]valores86'!$AL43</f>
        <v>0.0047089349638421065</v>
      </c>
      <c r="E14" s="38">
        <f>'[2]valores86'!E43/'[2]valores86'!$AL43</f>
        <v>0.005864546044254379</v>
      </c>
      <c r="F14" s="38">
        <f>'[2]valores86'!F43/'[2]valores86'!$AL43</f>
        <v>0.009929606227326238</v>
      </c>
      <c r="G14" s="38">
        <f>'[2]valores86'!G43/'[2]valores86'!$AL43</f>
        <v>0.0004997237104485501</v>
      </c>
      <c r="H14" s="38">
        <f>'[2]valores86'!H43/'[2]valores86'!$AL43</f>
        <v>0.0007760132618984695</v>
      </c>
      <c r="I14" s="38">
        <f>'[2]valores86'!I43/'[2]valores86'!$AL43</f>
        <v>0.0017298128438603658</v>
      </c>
      <c r="J14" s="38">
        <f>'[2]valores86'!J43/'[2]valores86'!$AL43</f>
        <v>0.0005645916920933138</v>
      </c>
      <c r="K14" s="38">
        <f>'[2]valores86'!K43/'[2]valores86'!$AL43</f>
        <v>0.002010907430987675</v>
      </c>
      <c r="L14" s="38">
        <f>'[2]valores86'!L43/'[2]valores86'!$AL43</f>
        <v>0.031035725440261393</v>
      </c>
      <c r="M14" s="38">
        <f>'[2]valores86'!M43/'[2]valores86'!$AL43</f>
        <v>0.048271388415058986</v>
      </c>
      <c r="N14" s="38">
        <f>'[2]valores86'!N43/'[2]valores86'!$AL43</f>
        <v>0.043437522523604735</v>
      </c>
      <c r="O14" s="38">
        <f>'[2]valores86'!O43/'[2]valores86'!$AL43</f>
        <v>0.0113278716094467</v>
      </c>
      <c r="P14" s="38">
        <f>'[2]valores86'!P43/'[2]valores86'!$AL43</f>
        <v>0.002056555269922879</v>
      </c>
      <c r="Q14" s="38">
        <f>'[2]valores86'!Q43/'[2]valores86'!$AL43</f>
        <v>0.10724839631934267</v>
      </c>
      <c r="R14" s="38">
        <f>'[2]valores86'!R43/'[2]valores86'!$AL43</f>
        <v>0.000653484852125027</v>
      </c>
      <c r="S14" s="38">
        <f>'[2]valores86'!S43/'[2]valores86'!$AL43</f>
        <v>0.0004108305504168369</v>
      </c>
      <c r="T14" s="38">
        <f>'[2]valores86'!T43/'[2]valores86'!$AL43</f>
        <v>0</v>
      </c>
      <c r="U14" s="38">
        <f>'[2]valores86'!U43/'[2]valores86'!$AL43</f>
        <v>0</v>
      </c>
      <c r="V14" s="38">
        <f>'[2]valores86'!V43/'[2]valores86'!$AL43</f>
        <v>0.00014895610599908706</v>
      </c>
      <c r="W14" s="38">
        <f>'[2]valores86'!W43/'[2]valores86'!$AL43</f>
        <v>0.0013982653821204623</v>
      </c>
      <c r="X14" s="38">
        <f>'[2]valores86'!X43/'[2]valores86'!$AL43</f>
        <v>0.00010330826706388295</v>
      </c>
      <c r="Y14" s="38">
        <f>'[2]valores86'!Y43/'[2]valores86'!$AL43</f>
        <v>0.0012421017226052905</v>
      </c>
      <c r="Z14" s="38">
        <f>'[2]valores86'!Z43/'[2]valores86'!$AL43</f>
        <v>8.168560651562837E-05</v>
      </c>
      <c r="AA14" s="40">
        <f>'[2]valores86'!AA43/'[2]valores86'!$AL43</f>
        <v>0.27378612786199935</v>
      </c>
      <c r="AB14" s="38">
        <f>'[2]valores86'!AB43/'[2]valores86'!$AL43</f>
        <v>0.028265622372246113</v>
      </c>
      <c r="AC14" s="38">
        <f>'[2]valores86'!AC43/'[2]valores86'!$AL43</f>
        <v>0</v>
      </c>
      <c r="AD14" s="38">
        <f>'[2]valores86'!AD43/'[2]valores86'!$AL43</f>
        <v>0.16436345289863777</v>
      </c>
      <c r="AE14" s="38">
        <f>'[2]valores86'!AE43/'[2]valores86'!$AL43</f>
        <v>0.022590875237248634</v>
      </c>
      <c r="AF14" s="38">
        <f>'[2]valores86'!AF43/'[2]valores86'!$AL43</f>
        <v>0.18695432813588642</v>
      </c>
      <c r="AG14" s="38">
        <f>'[2]valores86'!AG43/'[2]valores86'!$AL43</f>
        <v>0.5109939216298681</v>
      </c>
      <c r="AH14" s="38">
        <f>'[2]valores86'!AH43/'[2]valores86'!$AL43</f>
        <v>0.4248516445234605</v>
      </c>
      <c r="AI14" s="38">
        <f>'[2]valores86'!AI43/'[2]valores86'!$AL43</f>
        <v>0.05447468947456935</v>
      </c>
      <c r="AJ14" s="38">
        <f>'[2]valores86'!AJ43/'[2]valores86'!$AL43</f>
        <v>0.03166758763183816</v>
      </c>
      <c r="AK14" s="40">
        <f>'[2]valores86'!AK43/'[2]valores86'!$AL43</f>
        <v>0.7262138721380006</v>
      </c>
      <c r="AL14" s="41">
        <f>'[2]valores86'!AL43/'[2]valores86'!$AL43</f>
        <v>1</v>
      </c>
    </row>
    <row r="15" spans="1:38" ht="15.75" customHeight="1">
      <c r="A15" s="76">
        <v>11</v>
      </c>
      <c r="B15" s="37" t="s">
        <v>66</v>
      </c>
      <c r="C15" s="38">
        <f>'[2]valores86'!C47/'[2]valores86'!$AL47</f>
        <v>0.016475481964912813</v>
      </c>
      <c r="D15" s="38">
        <f>'[2]valores86'!D47/'[2]valores86'!$AL47</f>
        <v>0.003658688001422702</v>
      </c>
      <c r="E15" s="38">
        <f>'[2]valores86'!E47/'[2]valores86'!$AL47</f>
        <v>0.0013028789667188431</v>
      </c>
      <c r="F15" s="38">
        <f>'[2]valores86'!F47/'[2]valores86'!$AL47</f>
        <v>0.0010794973045098696</v>
      </c>
      <c r="G15" s="38">
        <f>'[2]valores86'!G47/'[2]valores86'!$AL47</f>
        <v>0.0007287013446817001</v>
      </c>
      <c r="H15" s="38">
        <f>'[2]valores86'!H47/'[2]valores86'!$AL47</f>
        <v>0.004019785542760509</v>
      </c>
      <c r="I15" s="38">
        <f>'[2]valores86'!I47/'[2]valores86'!$AL47</f>
        <v>0.00399430268323667</v>
      </c>
      <c r="J15" s="38">
        <f>'[2]valores86'!J47/'[2]valores86'!$AL47</f>
        <v>0.009175455994083639</v>
      </c>
      <c r="K15" s="38">
        <f>'[2]valores86'!K47/'[2]valores86'!$AL47</f>
        <v>0.017642813806504853</v>
      </c>
      <c r="L15" s="38">
        <f>'[2]valores86'!L47/'[2]valores86'!$AL47</f>
        <v>0.003130054213428165</v>
      </c>
      <c r="M15" s="38">
        <f>'[2]valores86'!M47/'[2]valores86'!$AL47</f>
        <v>0.14169445834555516</v>
      </c>
      <c r="N15" s="38">
        <f>'[2]valores86'!N47/'[2]valores86'!$AL47</f>
        <v>0.043199953154913553</v>
      </c>
      <c r="O15" s="38">
        <f>'[2]valores86'!O47/'[2]valores86'!$AL47</f>
        <v>0.001579395101977524</v>
      </c>
      <c r="P15" s="38">
        <f>'[2]valores86'!P47/'[2]valores86'!$AL47</f>
        <v>0.0017247016201134583</v>
      </c>
      <c r="Q15" s="38">
        <f>'[2]valores86'!Q47/'[2]valores86'!$AL47</f>
        <v>0.0581003775258529</v>
      </c>
      <c r="R15" s="38">
        <f>'[2]valores86'!R47/'[2]valores86'!$AL47</f>
        <v>0.008482539090435415</v>
      </c>
      <c r="S15" s="38">
        <f>'[2]valores86'!S47/'[2]valores86'!$AL47</f>
        <v>0.001494271507397891</v>
      </c>
      <c r="T15" s="38">
        <f>'[2]valores86'!T47/'[2]valores86'!$AL47</f>
        <v>0.0012589616981777585</v>
      </c>
      <c r="U15" s="38">
        <f>'[2]valores86'!U47/'[2]valores86'!$AL47</f>
        <v>0</v>
      </c>
      <c r="V15" s="38">
        <f>'[2]valores86'!V47/'[2]valores86'!$AL47</f>
        <v>0.004733305609428007</v>
      </c>
      <c r="W15" s="38">
        <f>'[2]valores86'!W47/'[2]valores86'!$AL47</f>
        <v>8.729234858166199E-05</v>
      </c>
      <c r="X15" s="38">
        <f>'[2]valores86'!X47/'[2]valores86'!$AL47</f>
        <v>0.0001664518696557157</v>
      </c>
      <c r="Y15" s="38">
        <f>'[2]valores86'!Y47/'[2]valores86'!$AL47</f>
        <v>0.0029175163212293363</v>
      </c>
      <c r="Z15" s="38">
        <f>'[2]valores86'!Z47/'[2]valores86'!$AL47</f>
        <v>0.0033095186070960544</v>
      </c>
      <c r="AA15" s="40">
        <f>'[2]valores86'!AA47/'[2]valores86'!$AL47</f>
        <v>0.3299564026226742</v>
      </c>
      <c r="AB15" s="38">
        <f>'[2]valores86'!AB47/'[2]valores86'!$AL47</f>
        <v>0.03238491913529609</v>
      </c>
      <c r="AC15" s="38">
        <f>'[2]valores86'!AC47/'[2]valores86'!$AL47</f>
        <v>0</v>
      </c>
      <c r="AD15" s="38">
        <f>'[2]valores86'!AD47/'[2]valores86'!$AL47</f>
        <v>0.1992727083454196</v>
      </c>
      <c r="AE15" s="38">
        <f>'[2]valores86'!AE47/'[2]valores86'!$AL47</f>
        <v>0.008335606006797959</v>
      </c>
      <c r="AF15" s="38">
        <f>'[2]valores86'!AF47/'[2]valores86'!$AL47</f>
        <v>0.20760831435221758</v>
      </c>
      <c r="AG15" s="38">
        <f>'[2]valores86'!AG47/'[2]valores86'!$AL47</f>
        <v>0.4300503638898121</v>
      </c>
      <c r="AH15" s="38">
        <f>'[2]valores86'!AH47/'[2]valores86'!$AL47</f>
        <v>0.20300296522890926</v>
      </c>
      <c r="AI15" s="38">
        <f>'[2]valores86'!AI47/'[2]valores86'!$AL47</f>
        <v>0.18724913615817157</v>
      </c>
      <c r="AJ15" s="38">
        <f>'[2]valores86'!AJ47/'[2]valores86'!$AL47</f>
        <v>0.039798262502731274</v>
      </c>
      <c r="AK15" s="40">
        <f>'[2]valores86'!AK47/'[2]valores86'!$AL47</f>
        <v>0.6700435973773258</v>
      </c>
      <c r="AL15" s="41">
        <f>'[2]valores86'!AL47/'[2]valores86'!$AL47</f>
        <v>1</v>
      </c>
    </row>
    <row r="16" spans="1:38" ht="15.75" customHeight="1">
      <c r="A16" s="76">
        <v>12</v>
      </c>
      <c r="B16" s="37" t="s">
        <v>35</v>
      </c>
      <c r="C16" s="38">
        <f>'[2]valores86'!C51/'[2]valores86'!$AL51</f>
        <v>0</v>
      </c>
      <c r="D16" s="38">
        <f>'[2]valores86'!D51/'[2]valores86'!$AL51</f>
        <v>0</v>
      </c>
      <c r="E16" s="38">
        <f>'[2]valores86'!E51/'[2]valores86'!$AL51</f>
        <v>0</v>
      </c>
      <c r="F16" s="38">
        <f>'[2]valores86'!F51/'[2]valores86'!$AL51</f>
        <v>0</v>
      </c>
      <c r="G16" s="38">
        <f>'[2]valores86'!G51/'[2]valores86'!$AL51</f>
        <v>0</v>
      </c>
      <c r="H16" s="38">
        <f>'[2]valores86'!H51/'[2]valores86'!$AL51</f>
        <v>0</v>
      </c>
      <c r="I16" s="38">
        <f>'[2]valores86'!I51/'[2]valores86'!$AL51</f>
        <v>0</v>
      </c>
      <c r="J16" s="38">
        <f>'[2]valores86'!J51/'[2]valores86'!$AL51</f>
        <v>0</v>
      </c>
      <c r="K16" s="38">
        <f>'[2]valores86'!K51/'[2]valores86'!$AL51</f>
        <v>0</v>
      </c>
      <c r="L16" s="38">
        <f>'[2]valores86'!L51/'[2]valores86'!$AL51</f>
        <v>0</v>
      </c>
      <c r="M16" s="38">
        <f>'[2]valores86'!M51/'[2]valores86'!$AL51</f>
        <v>0</v>
      </c>
      <c r="N16" s="38">
        <f>'[2]valores86'!N51/'[2]valores86'!$AL51</f>
        <v>0.3316236987030697</v>
      </c>
      <c r="O16" s="38">
        <f>'[2]valores86'!O51/'[2]valores86'!$AL51</f>
        <v>0</v>
      </c>
      <c r="P16" s="38">
        <f>'[2]valores86'!P51/'[2]valores86'!$AL51</f>
        <v>0</v>
      </c>
      <c r="Q16" s="38">
        <f>'[2]valores86'!Q51/'[2]valores86'!$AL51</f>
        <v>0</v>
      </c>
      <c r="R16" s="38">
        <f>'[2]valores86'!R51/'[2]valores86'!$AL51</f>
        <v>0.005319876514891656</v>
      </c>
      <c r="S16" s="38">
        <f>'[2]valores86'!S51/'[2]valores86'!$AL51</f>
        <v>0.0022990368245724424</v>
      </c>
      <c r="T16" s="38">
        <f>'[2]valores86'!T51/'[2]valores86'!$AL51</f>
        <v>0</v>
      </c>
      <c r="U16" s="38">
        <f>'[2]valores86'!U51/'[2]valores86'!$AL51</f>
        <v>0</v>
      </c>
      <c r="V16" s="38">
        <f>'[2]valores86'!V51/'[2]valores86'!$AL51</f>
        <v>0.00010521907663947104</v>
      </c>
      <c r="W16" s="38">
        <f>'[2]valores86'!W51/'[2]valores86'!$AL51</f>
        <v>0.00010784955355545781</v>
      </c>
      <c r="X16" s="38">
        <f>'[2]valores86'!X51/'[2]valores86'!$AL51</f>
        <v>6.839239981565618E-06</v>
      </c>
      <c r="Y16" s="38">
        <f>'[2]valores86'!Y51/'[2]valores86'!$AL51</f>
        <v>0</v>
      </c>
      <c r="Z16" s="38">
        <f>'[2]valores86'!Z51/'[2]valores86'!$AL51</f>
        <v>2.314819686068363E-05</v>
      </c>
      <c r="AA16" s="40">
        <f>'[2]valores86'!AA51/'[2]valores86'!$AL51</f>
        <v>0.3394856681095709</v>
      </c>
      <c r="AB16" s="38">
        <f>'[2]valores86'!AB51/'[2]valores86'!$AL51</f>
        <v>0.08156582821091796</v>
      </c>
      <c r="AC16" s="38">
        <f>'[2]valores86'!AC51/'[2]valores86'!$AL51</f>
        <v>0</v>
      </c>
      <c r="AD16" s="38">
        <f>'[2]valores86'!AD51/'[2]valores86'!$AL51</f>
        <v>0.040977569397241995</v>
      </c>
      <c r="AE16" s="38">
        <f>'[2]valores86'!AE51/'[2]valores86'!$AL51</f>
        <v>0.0049347746943911915</v>
      </c>
      <c r="AF16" s="38">
        <f>'[2]valores86'!AF51/'[2]valores86'!$AL51</f>
        <v>0.04591234409163319</v>
      </c>
      <c r="AG16" s="38">
        <f>'[2]valores86'!AG51/'[2]valores86'!$AL51</f>
        <v>0.5330361595878779</v>
      </c>
      <c r="AH16" s="38">
        <f>'[2]valores86'!AH51/'[2]valores86'!$AL51</f>
        <v>0.05210553894263246</v>
      </c>
      <c r="AI16" s="38">
        <f>'[2]valores86'!AI51/'[2]valores86'!$AL51</f>
        <v>0.4281285314152597</v>
      </c>
      <c r="AJ16" s="38">
        <f>'[2]valores86'!AJ51/'[2]valores86'!$AL51</f>
        <v>0.052802089229985756</v>
      </c>
      <c r="AK16" s="40">
        <f>'[2]valores86'!AK51/'[2]valores86'!$AL51</f>
        <v>0.6605143318904291</v>
      </c>
      <c r="AL16" s="41">
        <f>'[2]valores86'!AL51/'[2]valores86'!$AL51</f>
        <v>1</v>
      </c>
    </row>
    <row r="17" spans="1:38" ht="15.75" customHeight="1">
      <c r="A17" s="76">
        <v>13</v>
      </c>
      <c r="B17" s="37" t="s">
        <v>67</v>
      </c>
      <c r="C17" s="38">
        <f>'[2]valores86'!C55/'[2]valores86'!$AL55</f>
        <v>0.00021627251176375485</v>
      </c>
      <c r="D17" s="38">
        <f>'[2]valores86'!D55/'[2]valores86'!$AL55</f>
        <v>0.004002091334191425</v>
      </c>
      <c r="E17" s="38">
        <f>'[2]valores86'!E55/'[2]valores86'!$AL55</f>
        <v>0.0002897631711009531</v>
      </c>
      <c r="F17" s="38">
        <f>'[2]valores86'!F55/'[2]valores86'!$AL55</f>
        <v>0.0019506520721216335</v>
      </c>
      <c r="G17" s="38">
        <f>'[2]valores86'!G55/'[2]valores86'!$AL55</f>
        <v>0.00042624582415574984</v>
      </c>
      <c r="H17" s="38">
        <f>'[2]valores86'!H55/'[2]valores86'!$AL55</f>
        <v>0.0035821447094074345</v>
      </c>
      <c r="I17" s="38">
        <f>'[2]valores86'!I55/'[2]valores86'!$AL55</f>
        <v>0</v>
      </c>
      <c r="J17" s="38">
        <f>'[2]valores86'!J55/'[2]valores86'!$AL55</f>
        <v>0.000459841554138469</v>
      </c>
      <c r="K17" s="38">
        <f>'[2]valores86'!K55/'[2]valores86'!$AL55</f>
        <v>0.035810948428454746</v>
      </c>
      <c r="L17" s="38">
        <f>'[2]valores86'!L55/'[2]valores86'!$AL55</f>
        <v>0.0008566911145593395</v>
      </c>
      <c r="M17" s="38">
        <f>'[2]valores86'!M55/'[2]valores86'!$AL55</f>
        <v>0.0054236106590852306</v>
      </c>
      <c r="N17" s="38">
        <f>'[2]valores86'!N55/'[2]valores86'!$AL55</f>
        <v>0.05416681539776294</v>
      </c>
      <c r="O17" s="38">
        <f>'[2]valores86'!O55/'[2]valores86'!$AL55</f>
        <v>0.1654736682967595</v>
      </c>
      <c r="P17" s="38">
        <f>'[2]valores86'!P55/'[2]valores86'!$AL55</f>
        <v>0.00011128585556775734</v>
      </c>
      <c r="Q17" s="38">
        <f>'[2]valores86'!Q55/'[2]valores86'!$AL55</f>
        <v>0.027107554629806553</v>
      </c>
      <c r="R17" s="38">
        <f>'[2]valores86'!R55/'[2]valores86'!$AL55</f>
        <v>0.0013606270643001274</v>
      </c>
      <c r="S17" s="38">
        <f>'[2]valores86'!S55/'[2]valores86'!$AL55</f>
        <v>0.0005312324803517473</v>
      </c>
      <c r="T17" s="38">
        <f>'[2]valores86'!T55/'[2]valores86'!$AL55</f>
        <v>0.0005900250078215059</v>
      </c>
      <c r="U17" s="38">
        <f>'[2]valores86'!U55/'[2]valores86'!$AL55</f>
        <v>0</v>
      </c>
      <c r="V17" s="38">
        <f>'[2]valores86'!V55/'[2]valores86'!$AL55</f>
        <v>0.0006950116640175035</v>
      </c>
      <c r="W17" s="38">
        <f>'[2]valores86'!W55/'[2]valores86'!$AL55</f>
        <v>0.0019359539402541938</v>
      </c>
      <c r="X17" s="38">
        <f>'[2]valores86'!X55/'[2]valores86'!$AL55</f>
        <v>3.1495996858799245E-05</v>
      </c>
      <c r="Y17" s="38">
        <f>'[2]valores86'!Y55/'[2]valores86'!$AL55</f>
        <v>0.001883460612156195</v>
      </c>
      <c r="Z17" s="38">
        <f>'[2]valores86'!Z55/'[2]valores86'!$AL55</f>
        <v>0.0016629886341446003</v>
      </c>
      <c r="AA17" s="40">
        <f>'[2]valores86'!AA55/'[2]valores86'!$AL55</f>
        <v>0.30856838095878014</v>
      </c>
      <c r="AB17" s="38">
        <f>'[2]valores86'!AB55/'[2]valores86'!$AL55</f>
        <v>0.1816542117496866</v>
      </c>
      <c r="AC17" s="38">
        <f>'[2]valores86'!AC55/'[2]valores86'!$AL55</f>
        <v>0</v>
      </c>
      <c r="AD17" s="38">
        <f>'[2]valores86'!AD55/'[2]valores86'!$AL55</f>
        <v>0.07355575106403976</v>
      </c>
      <c r="AE17" s="38">
        <f>'[2]valores86'!AE55/'[2]valores86'!$AL55</f>
        <v>0.008193158649535645</v>
      </c>
      <c r="AF17" s="38">
        <f>'[2]valores86'!AF55/'[2]valores86'!$AL55</f>
        <v>0.08174890971357542</v>
      </c>
      <c r="AG17" s="38">
        <f>'[2]valores86'!AG55/'[2]valores86'!$AL55</f>
        <v>0.4280284975779579</v>
      </c>
      <c r="AH17" s="38">
        <f>'[2]valores86'!AH55/'[2]valores86'!$AL55</f>
        <v>0.31462821075441316</v>
      </c>
      <c r="AI17" s="38">
        <f>'[2]valores86'!AI55/'[2]valores86'!$AL55</f>
        <v>0.09094154133009695</v>
      </c>
      <c r="AJ17" s="38">
        <f>'[2]valores86'!AJ55/'[2]valores86'!$AL55</f>
        <v>0.02245874549344778</v>
      </c>
      <c r="AK17" s="40">
        <f>'[2]valores86'!AK55/'[2]valores86'!$AL55</f>
        <v>0.6914316190412199</v>
      </c>
      <c r="AL17" s="41">
        <f>'[2]valores86'!AL55/'[2]valores86'!$AL55</f>
        <v>1</v>
      </c>
    </row>
    <row r="18" spans="1:38" ht="15.75" customHeight="1">
      <c r="A18" s="76">
        <v>14</v>
      </c>
      <c r="B18" s="37" t="s">
        <v>37</v>
      </c>
      <c r="C18" s="38">
        <f>'[2]valores86'!C59/'[2]valores86'!$AL59</f>
        <v>0.041659234542975314</v>
      </c>
      <c r="D18" s="38">
        <f>'[2]valores86'!D59/'[2]valores86'!$AL59</f>
        <v>0.024431302144239865</v>
      </c>
      <c r="E18" s="38">
        <f>'[2]valores86'!E59/'[2]valores86'!$AL59</f>
        <v>0.005566240257889774</v>
      </c>
      <c r="F18" s="38">
        <f>'[2]valores86'!F59/'[2]valores86'!$AL59</f>
        <v>0.004292134715958985</v>
      </c>
      <c r="G18" s="38">
        <f>'[2]valores86'!G59/'[2]valores86'!$AL59</f>
        <v>0.00791723434766196</v>
      </c>
      <c r="H18" s="38">
        <f>'[2]valores86'!H59/'[2]valores86'!$AL59</f>
        <v>0.027361002471494433</v>
      </c>
      <c r="I18" s="38">
        <f>'[2]valores86'!I59/'[2]valores86'!$AL59</f>
        <v>0.07619505217588786</v>
      </c>
      <c r="J18" s="38">
        <f>'[2]valores86'!J59/'[2]valores86'!$AL59</f>
        <v>0.0604386326770665</v>
      </c>
      <c r="K18" s="38">
        <f>'[2]valores86'!K59/'[2]valores86'!$AL59</f>
        <v>0.04075881332478726</v>
      </c>
      <c r="L18" s="38">
        <f>'[2]valores86'!L59/'[2]valores86'!$AL59</f>
        <v>0.008800522815398231</v>
      </c>
      <c r="M18" s="38">
        <f>'[2]valores86'!M59/'[2]valores86'!$AL59</f>
        <v>0.016158087314968674</v>
      </c>
      <c r="N18" s="38">
        <f>'[2]valores86'!N59/'[2]valores86'!$AL59</f>
        <v>0.016481705934613428</v>
      </c>
      <c r="O18" s="38">
        <f>'[2]valores86'!O59/'[2]valores86'!$AL59</f>
        <v>0.007896294319332005</v>
      </c>
      <c r="P18" s="38">
        <f>'[2]valores86'!P59/'[2]valores86'!$AL59</f>
        <v>0.0012297507546500663</v>
      </c>
      <c r="Q18" s="38">
        <f>'[2]valores86'!Q59/'[2]valores86'!$AL59</f>
        <v>0.018760361744700315</v>
      </c>
      <c r="R18" s="38">
        <f>'[2]valores86'!R59/'[2]valores86'!$AL59</f>
        <v>0.04207422783169623</v>
      </c>
      <c r="S18" s="38">
        <f>'[2]valores86'!S59/'[2]valores86'!$AL59</f>
        <v>0.08905984412623638</v>
      </c>
      <c r="T18" s="38">
        <f>'[2]valores86'!T59/'[2]valores86'!$AL59</f>
        <v>0.004669626317579896</v>
      </c>
      <c r="U18" s="38">
        <f>'[2]valores86'!U59/'[2]valores86'!$AL59</f>
        <v>0</v>
      </c>
      <c r="V18" s="38">
        <f>'[2]valores86'!V59/'[2]valores86'!$AL59</f>
        <v>0.046774312372301514</v>
      </c>
      <c r="W18" s="38">
        <f>'[2]valores86'!W59/'[2]valores86'!$AL59</f>
        <v>0.02422761277775758</v>
      </c>
      <c r="X18" s="38">
        <f>'[2]valores86'!X59/'[2]valores86'!$AL59</f>
        <v>0.008659653533905808</v>
      </c>
      <c r="Y18" s="38">
        <f>'[2]valores86'!Y59/'[2]valores86'!$AL59</f>
        <v>0.009325927162586184</v>
      </c>
      <c r="Z18" s="38">
        <f>'[2]valores86'!Z59/'[2]valores86'!$AL59</f>
        <v>0.01524243698526793</v>
      </c>
      <c r="AA18" s="40">
        <f>'[2]valores86'!AA59/'[2]valores86'!$AL59</f>
        <v>0.5979800106489562</v>
      </c>
      <c r="AB18" s="38">
        <f>'[2]valores86'!AB59/'[2]valores86'!$AL59</f>
        <v>0.40201998935104377</v>
      </c>
      <c r="AC18" s="38">
        <f>'[2]valores86'!AC59/'[2]valores86'!$AL59</f>
        <v>0</v>
      </c>
      <c r="AD18" s="38">
        <f>'[2]valores86'!AD59/'[2]valores86'!$AL59</f>
        <v>0</v>
      </c>
      <c r="AE18" s="38">
        <f>'[2]valores86'!AE59/'[2]valores86'!$AL59</f>
        <v>0</v>
      </c>
      <c r="AF18" s="38">
        <f>'[2]valores86'!AF59/'[2]valores86'!$AL59</f>
        <v>0</v>
      </c>
      <c r="AG18" s="38">
        <f>'[2]valores86'!AG59/'[2]valores86'!$AL59</f>
        <v>0</v>
      </c>
      <c r="AH18" s="38">
        <f>'[2]valores86'!AH59/'[2]valores86'!$AL59</f>
        <v>0</v>
      </c>
      <c r="AI18" s="38">
        <f>'[2]valores86'!AI59/'[2]valores86'!$AL59</f>
        <v>0</v>
      </c>
      <c r="AJ18" s="38">
        <f>'[2]valores86'!AJ59/'[2]valores86'!$AL59</f>
        <v>0</v>
      </c>
      <c r="AK18" s="40">
        <f>'[2]valores86'!AK59/'[2]valores86'!$AL59</f>
        <v>0.40201998935104377</v>
      </c>
      <c r="AL18" s="41">
        <f>'[2]valores86'!AL59/'[2]valores86'!$AL59</f>
        <v>1</v>
      </c>
    </row>
    <row r="19" spans="1:38" ht="15.75" customHeight="1">
      <c r="A19" s="76">
        <v>15</v>
      </c>
      <c r="B19" s="37" t="s">
        <v>38</v>
      </c>
      <c r="C19" s="38">
        <f>'[2]valores86'!C63/'[2]valores86'!$AL63</f>
        <v>0.01404094538111358</v>
      </c>
      <c r="D19" s="38">
        <f>'[2]valores86'!D63/'[2]valores86'!$AL63</f>
        <v>0.0024496004989774463</v>
      </c>
      <c r="E19" s="38">
        <f>'[2]valores86'!E63/'[2]valores86'!$AL63</f>
        <v>0.0006134293686514949</v>
      </c>
      <c r="F19" s="38">
        <f>'[2]valores86'!F63/'[2]valores86'!$AL63</f>
        <v>0.0004261069775532196</v>
      </c>
      <c r="G19" s="38">
        <f>'[2]valores86'!G63/'[2]valores86'!$AL63</f>
        <v>0.00015850356169854065</v>
      </c>
      <c r="H19" s="38">
        <f>'[2]valores86'!H63/'[2]valores86'!$AL63</f>
        <v>0.0005876982709731605</v>
      </c>
      <c r="I19" s="38">
        <f>'[2]valores86'!I63/'[2]valores86'!$AL63</f>
        <v>0.0014471169334295333</v>
      </c>
      <c r="J19" s="38">
        <f>'[2]valores86'!J63/'[2]valores86'!$AL63</f>
        <v>0.002916877232816001</v>
      </c>
      <c r="K19" s="38">
        <f>'[2]valores86'!K63/'[2]valores86'!$AL63</f>
        <v>0.002644127597425655</v>
      </c>
      <c r="L19" s="38">
        <f>'[2]valores86'!L63/'[2]valores86'!$AL63</f>
        <v>0.0005084464901238901</v>
      </c>
      <c r="M19" s="38">
        <f>'[2]valores86'!M63/'[2]valores86'!$AL63</f>
        <v>0.0007811961255142361</v>
      </c>
      <c r="N19" s="38">
        <f>'[2]valores86'!N63/'[2]valores86'!$AL63</f>
        <v>0.0027861632566100617</v>
      </c>
      <c r="O19" s="38">
        <f>'[2]valores86'!O63/'[2]valores86'!$AL63</f>
        <v>0.002038932180031227</v>
      </c>
      <c r="P19" s="38">
        <f>'[2]valores86'!P63/'[2]valores86'!$AL63</f>
        <v>0.007359093936003673</v>
      </c>
      <c r="Q19" s="38">
        <f>'[2]valores86'!Q63/'[2]valores86'!$AL63</f>
        <v>0.00011733380541320542</v>
      </c>
      <c r="R19" s="38">
        <f>'[2]valores86'!R63/'[2]valores86'!$AL63</f>
        <v>0.02145047226856679</v>
      </c>
      <c r="S19" s="38">
        <f>'[2]valores86'!S63/'[2]valores86'!$AL63</f>
        <v>0.008649765795548933</v>
      </c>
      <c r="T19" s="38">
        <f>'[2]valores86'!T63/'[2]valores86'!$AL63</f>
        <v>0.00896883140676028</v>
      </c>
      <c r="U19" s="38">
        <f>'[2]valores86'!U63/'[2]valores86'!$AL63</f>
        <v>0</v>
      </c>
      <c r="V19" s="38">
        <f>'[2]valores86'!V63/'[2]valores86'!$AL63</f>
        <v>0.057149797187488104</v>
      </c>
      <c r="W19" s="38">
        <f>'[2]valores86'!W63/'[2]valores86'!$AL63</f>
        <v>0.00773579720601449</v>
      </c>
      <c r="X19" s="38">
        <f>'[2]valores86'!X63/'[2]valores86'!$AL63</f>
        <v>0.0031525740875495453</v>
      </c>
      <c r="Y19" s="38">
        <f>'[2]valores86'!Y63/'[2]valores86'!$AL63</f>
        <v>0.002003937887188692</v>
      </c>
      <c r="Z19" s="38">
        <f>'[2]valores86'!Z63/'[2]valores86'!$AL63</f>
        <v>0.00564437358671946</v>
      </c>
      <c r="AA19" s="40">
        <f>'[2]valores86'!AA63/'[2]valores86'!$AL63</f>
        <v>0.15363112104217122</v>
      </c>
      <c r="AB19" s="38">
        <f>'[2]valores86'!AB63/'[2]valores86'!$AL63</f>
        <v>0.020227730506892333</v>
      </c>
      <c r="AC19" s="38">
        <f>'[2]valores86'!AC63/'[2]valores86'!$AL63</f>
        <v>0</v>
      </c>
      <c r="AD19" s="38">
        <f>'[2]valores86'!AD63/'[2]valores86'!$AL63</f>
        <v>0.8261411484509366</v>
      </c>
      <c r="AE19" s="38">
        <f>'[2]valores86'!AE63/'[2]valores86'!$AL63</f>
        <v>0</v>
      </c>
      <c r="AF19" s="38">
        <f>'[2]valores86'!AF63/'[2]valores86'!$AL63</f>
        <v>0.8261411484509366</v>
      </c>
      <c r="AG19" s="38">
        <f>'[2]valores86'!AG63/'[2]valores86'!$AL63</f>
        <v>0</v>
      </c>
      <c r="AH19" s="38">
        <f>'[2]valores86'!AH63/'[2]valores86'!$AL63</f>
        <v>0</v>
      </c>
      <c r="AI19" s="38">
        <f>'[2]valores86'!AI63/'[2]valores86'!$AL63</f>
        <v>0</v>
      </c>
      <c r="AJ19" s="38">
        <f>'[2]valores86'!AJ63/'[2]valores86'!$AL63</f>
        <v>0</v>
      </c>
      <c r="AK19" s="40">
        <f>'[2]valores86'!AK63/'[2]valores86'!$AL63</f>
        <v>0.8463688789578289</v>
      </c>
      <c r="AL19" s="41">
        <f>'[2]valores86'!AL63/'[2]valores86'!$AL63</f>
        <v>1</v>
      </c>
    </row>
    <row r="20" spans="1:38" ht="15.75" customHeight="1">
      <c r="A20" s="76">
        <v>16</v>
      </c>
      <c r="B20" s="37" t="s">
        <v>112</v>
      </c>
      <c r="C20" s="38">
        <f>'[2]valores86'!C67/'[2]valores86'!$AL67</f>
        <v>0.019055807631883578</v>
      </c>
      <c r="D20" s="38">
        <f>'[2]valores86'!D67/'[2]valores86'!$AL67</f>
        <v>0.01644733442202745</v>
      </c>
      <c r="E20" s="38">
        <f>'[2]valores86'!E67/'[2]valores86'!$AL67</f>
        <v>0.0043868602199437735</v>
      </c>
      <c r="F20" s="38">
        <f>'[2]valores86'!F67/'[2]valores86'!$AL67</f>
        <v>0.004224072887382173</v>
      </c>
      <c r="G20" s="38">
        <f>'[2]valores86'!G67/'[2]valores86'!$AL67</f>
        <v>0.005430120307590541</v>
      </c>
      <c r="H20" s="38">
        <f>'[2]valores86'!H67/'[2]valores86'!$AL67</f>
        <v>0.01595703447990739</v>
      </c>
      <c r="I20" s="38">
        <f>'[2]valores86'!I67/'[2]valores86'!$AL67</f>
        <v>0.013449980362163055</v>
      </c>
      <c r="J20" s="38">
        <f>'[2]valores86'!J67/'[2]valores86'!$AL67</f>
        <v>0.005786056102199438</v>
      </c>
      <c r="K20" s="38">
        <f>'[2]valores86'!K67/'[2]valores86'!$AL67</f>
        <v>0.026534981189019344</v>
      </c>
      <c r="L20" s="38">
        <f>'[2]valores86'!L67/'[2]valores86'!$AL67</f>
        <v>0.007284733132131635</v>
      </c>
      <c r="M20" s="38">
        <f>'[2]valores86'!M67/'[2]valores86'!$AL67</f>
        <v>0.027585347072928725</v>
      </c>
      <c r="N20" s="38">
        <f>'[2]valores86'!N67/'[2]valores86'!$AL67</f>
        <v>0.023602225276996854</v>
      </c>
      <c r="O20" s="38">
        <f>'[2]valores86'!O67/'[2]valores86'!$AL67</f>
        <v>0.010036614230196791</v>
      </c>
      <c r="P20" s="38">
        <f>'[2]valores86'!P67/'[2]valores86'!$AL67</f>
        <v>0.0007616121630560608</v>
      </c>
      <c r="Q20" s="38">
        <f>'[2]valores86'!Q67/'[2]valores86'!$AL67</f>
        <v>0.031613041590871506</v>
      </c>
      <c r="R20" s="38">
        <f>'[2]valores86'!R67/'[2]valores86'!$AL67</f>
        <v>0.0547656637588887</v>
      </c>
      <c r="S20" s="38">
        <f>'[2]valores86'!S67/'[2]valores86'!$AL67</f>
        <v>0.02995157722837771</v>
      </c>
      <c r="T20" s="38">
        <f>'[2]valores86'!T67/'[2]valores86'!$AL67</f>
        <v>0.0051439505126509005</v>
      </c>
      <c r="U20" s="38">
        <f>'[2]valores86'!U67/'[2]valores86'!$AL67</f>
        <v>0</v>
      </c>
      <c r="V20" s="38">
        <f>'[2]valores86'!V67/'[2]valores86'!$AL67</f>
        <v>0.008829274847031585</v>
      </c>
      <c r="W20" s="38">
        <f>'[2]valores86'!W67/'[2]valores86'!$AL67</f>
        <v>0.006422347858442203</v>
      </c>
      <c r="X20" s="38">
        <f>'[2]valores86'!X67/'[2]valores86'!$AL67</f>
        <v>0.0034656906317182073</v>
      </c>
      <c r="Y20" s="38">
        <f>'[2]valores86'!Y67/'[2]valores86'!$AL67</f>
        <v>0.007382276335372911</v>
      </c>
      <c r="Z20" s="38">
        <f>'[2]valores86'!Z67/'[2]valores86'!$AL67</f>
        <v>0.0038332540929386467</v>
      </c>
      <c r="AA20" s="40">
        <f>'[2]valores86'!AA67/'[2]valores86'!$AL67</f>
        <v>0.3319498563337192</v>
      </c>
      <c r="AB20" s="38">
        <f>'[2]valores86'!AB67/'[2]valores86'!$AL67</f>
        <v>0.6442302226310567</v>
      </c>
      <c r="AC20" s="38">
        <f>'[2]valores86'!AC67/'[2]valores86'!$AL67</f>
        <v>0</v>
      </c>
      <c r="AD20" s="38">
        <f>'[2]valores86'!AD67/'[2]valores86'!$AL67</f>
        <v>0.023819921035224078</v>
      </c>
      <c r="AE20" s="38">
        <f>'[2]valores86'!AE67/'[2]valores86'!$AL67</f>
        <v>0</v>
      </c>
      <c r="AF20" s="38">
        <f>'[2]valores86'!AF67/'[2]valores86'!$AL67</f>
        <v>0.023819921035224078</v>
      </c>
      <c r="AG20" s="38">
        <f>'[2]valores86'!AG67/'[2]valores86'!$AL67</f>
        <v>0</v>
      </c>
      <c r="AH20" s="38">
        <f>'[2]valores86'!AH67/'[2]valores86'!$AL67</f>
        <v>0</v>
      </c>
      <c r="AI20" s="38">
        <f>'[2]valores86'!AI67/'[2]valores86'!$AL67</f>
        <v>0</v>
      </c>
      <c r="AJ20" s="38">
        <f>'[2]valores86'!AJ67/'[2]valores86'!$AL67</f>
        <v>0</v>
      </c>
      <c r="AK20" s="40">
        <f>'[2]valores86'!AK67/'[2]valores86'!$AL67</f>
        <v>0.6680501436662808</v>
      </c>
      <c r="AL20" s="41">
        <f>'[2]valores86'!AL67/'[2]valores86'!$AL67</f>
        <v>1</v>
      </c>
    </row>
    <row r="21" spans="1:38" ht="15.75" customHeight="1">
      <c r="A21" s="76">
        <v>17</v>
      </c>
      <c r="B21" s="37" t="s">
        <v>70</v>
      </c>
      <c r="C21" s="38">
        <f>'[2]valores86'!C71/'[2]valores86'!$AL71</f>
        <v>0.007157209184155612</v>
      </c>
      <c r="D21" s="38">
        <f>'[2]valores86'!D71/'[2]valores86'!$AL71</f>
        <v>0.024845740453568764</v>
      </c>
      <c r="E21" s="38">
        <f>'[2]valores86'!E71/'[2]valores86'!$AL71</f>
        <v>0.01173193618000226</v>
      </c>
      <c r="F21" s="38">
        <f>'[2]valores86'!F71/'[2]valores86'!$AL71</f>
        <v>0.008298954458770913</v>
      </c>
      <c r="G21" s="38">
        <f>'[2]valores86'!G71/'[2]valores86'!$AL71</f>
        <v>0.006746676622726772</v>
      </c>
      <c r="H21" s="38">
        <f>'[2]valores86'!H71/'[2]valores86'!$AL71</f>
        <v>0.03699440591290823</v>
      </c>
      <c r="I21" s="38">
        <f>'[2]valores86'!I71/'[2]valores86'!$AL71</f>
        <v>0.03481780874759683</v>
      </c>
      <c r="J21" s="38">
        <f>'[2]valores86'!J71/'[2]valores86'!$AL71</f>
        <v>0.03771477436975506</v>
      </c>
      <c r="K21" s="38">
        <f>'[2]valores86'!K71/'[2]valores86'!$AL71</f>
        <v>0.08616071497731226</v>
      </c>
      <c r="L21" s="38">
        <f>'[2]valores86'!L71/'[2]valores86'!$AL71</f>
        <v>0.0125901816103101</v>
      </c>
      <c r="M21" s="38">
        <f>'[2]valores86'!M71/'[2]valores86'!$AL71</f>
        <v>0.037293397551986594</v>
      </c>
      <c r="N21" s="38">
        <f>'[2]valores86'!N71/'[2]valores86'!$AL71</f>
        <v>0.03296344091352015</v>
      </c>
      <c r="O21" s="38">
        <f>'[2]valores86'!O71/'[2]valores86'!$AL71</f>
        <v>0.014740442724510963</v>
      </c>
      <c r="P21" s="38">
        <f>'[2]valores86'!P71/'[2]valores86'!$AL71</f>
        <v>0.0011401960951382098</v>
      </c>
      <c r="Q21" s="38">
        <f>'[2]valores86'!Q71/'[2]valores86'!$AL71</f>
        <v>0.07332111547119068</v>
      </c>
      <c r="R21" s="38">
        <f>'[2]valores86'!R71/'[2]valores86'!$AL71</f>
        <v>0.11713500944224892</v>
      </c>
      <c r="S21" s="38">
        <f>'[2]valores86'!S71/'[2]valores86'!$AL71</f>
        <v>0.13139365734938488</v>
      </c>
      <c r="T21" s="38">
        <f>'[2]valores86'!T71/'[2]valores86'!$AL71</f>
        <v>0.019843439922045288</v>
      </c>
      <c r="U21" s="38">
        <f>'[2]valores86'!U71/'[2]valores86'!$AL71</f>
        <v>0</v>
      </c>
      <c r="V21" s="38">
        <f>'[2]valores86'!V71/'[2]valores86'!$AL71</f>
        <v>0.015130835952737632</v>
      </c>
      <c r="W21" s="38">
        <f>'[2]valores86'!W71/'[2]valores86'!$AL71</f>
        <v>0.014323713445173764</v>
      </c>
      <c r="X21" s="38">
        <f>'[2]valores86'!X71/'[2]valores86'!$AL71</f>
        <v>0.011933329512023956</v>
      </c>
      <c r="Y21" s="38">
        <f>'[2]valores86'!Y71/'[2]valores86'!$AL71</f>
        <v>0.005028636582634008</v>
      </c>
      <c r="Z21" s="38">
        <f>'[2]valores86'!Z71/'[2]valores86'!$AL71</f>
        <v>0.012543706225997401</v>
      </c>
      <c r="AA21" s="40">
        <f>'[2]valores86'!AA71/'[2]valores86'!$AL71</f>
        <v>0.7538493237056992</v>
      </c>
      <c r="AB21" s="38">
        <f>'[2]valores86'!AB71/'[2]valores86'!$AL71</f>
        <v>0.16812470275118782</v>
      </c>
      <c r="AC21" s="38">
        <f>'[2]valores86'!AC71/'[2]valores86'!$AL71</f>
        <v>0</v>
      </c>
      <c r="AD21" s="38">
        <f>'[2]valores86'!AD71/'[2]valores86'!$AL71</f>
        <v>0.02882403335073578</v>
      </c>
      <c r="AE21" s="38">
        <f>'[2]valores86'!AE71/'[2]valores86'!$AL71</f>
        <v>0</v>
      </c>
      <c r="AF21" s="38">
        <f>'[2]valores86'!AF71/'[2]valores86'!$AL71</f>
        <v>0.02882403335073578</v>
      </c>
      <c r="AG21" s="38">
        <f>'[2]valores86'!AG71/'[2]valores86'!$AL71</f>
        <v>0.04920194019237711</v>
      </c>
      <c r="AH21" s="38">
        <f>'[2]valores86'!AH71/'[2]valores86'!$AL71</f>
        <v>0.04259159136363425</v>
      </c>
      <c r="AI21" s="38">
        <f>'[2]valores86'!AI71/'[2]valores86'!$AL71</f>
        <v>0.005874488577125125</v>
      </c>
      <c r="AJ21" s="38">
        <f>'[2]valores86'!AJ71/'[2]valores86'!$AL71</f>
        <v>0.0007358602516177306</v>
      </c>
      <c r="AK21" s="40">
        <f>'[2]valores86'!AK71/'[2]valores86'!$AL71</f>
        <v>0.2461506762943007</v>
      </c>
      <c r="AL21" s="41">
        <f>'[2]valores86'!AL71/'[2]valores86'!$AL71</f>
        <v>1</v>
      </c>
    </row>
    <row r="22" spans="1:38" ht="15.75" customHeight="1">
      <c r="A22" s="76">
        <v>18</v>
      </c>
      <c r="B22" s="37" t="s">
        <v>40</v>
      </c>
      <c r="C22" s="38">
        <f>'[2]valores86'!C75/'[2]valores86'!$AL75</f>
        <v>0.008727682385777485</v>
      </c>
      <c r="D22" s="38">
        <f>'[2]valores86'!D75/'[2]valores86'!$AL75</f>
        <v>0.002736234966002755</v>
      </c>
      <c r="E22" s="38">
        <f>'[2]valores86'!E75/'[2]valores86'!$AL75</f>
        <v>0.001966207392686637</v>
      </c>
      <c r="F22" s="38">
        <f>'[2]valores86'!F75/'[2]valores86'!$AL75</f>
        <v>0.0007911242191603957</v>
      </c>
      <c r="G22" s="38">
        <f>'[2]valores86'!G75/'[2]valores86'!$AL75</f>
        <v>0.0009113751004727759</v>
      </c>
      <c r="H22" s="38">
        <f>'[2]valores86'!H75/'[2]valores86'!$AL75</f>
        <v>0.0023269600366237772</v>
      </c>
      <c r="I22" s="38">
        <f>'[2]valores86'!I75/'[2]valores86'!$AL75</f>
        <v>0.0026012164325993807</v>
      </c>
      <c r="J22" s="38">
        <f>'[2]valores86'!J75/'[2]valores86'!$AL75</f>
        <v>0.003434533943448331</v>
      </c>
      <c r="K22" s="38">
        <f>'[2]valores86'!K75/'[2]valores86'!$AL75</f>
        <v>0.005674997732110571</v>
      </c>
      <c r="L22" s="38">
        <f>'[2]valores86'!L75/'[2]valores86'!$AL75</f>
        <v>0.00297251739945866</v>
      </c>
      <c r="M22" s="38">
        <f>'[2]valores86'!M75/'[2]valores86'!$AL75</f>
        <v>0.005983008761437019</v>
      </c>
      <c r="N22" s="38">
        <f>'[2]valores86'!N75/'[2]valores86'!$AL75</f>
        <v>0.0025948874388460976</v>
      </c>
      <c r="O22" s="38">
        <f>'[2]valores86'!O75/'[2]valores86'!$AL75</f>
        <v>0.003101206939108751</v>
      </c>
      <c r="P22" s="38">
        <f>'[2]valores86'!P75/'[2]valores86'!$AL75</f>
        <v>0.0015421648112166645</v>
      </c>
      <c r="Q22" s="38">
        <f>'[2]valores86'!Q75/'[2]valores86'!$AL75</f>
        <v>0.007124337301612416</v>
      </c>
      <c r="R22" s="38">
        <f>'[2]valores86'!R75/'[2]valores86'!$AL75</f>
        <v>0.011980785174965031</v>
      </c>
      <c r="S22" s="38">
        <f>'[2]valores86'!S75/'[2]valores86'!$AL75</f>
        <v>0.007719262714421034</v>
      </c>
      <c r="T22" s="38">
        <f>'[2]valores86'!T75/'[2]valores86'!$AL75</f>
        <v>0.05792927982380081</v>
      </c>
      <c r="U22" s="38">
        <f>'[2]valores86'!U75/'[2]valores86'!$AL75</f>
        <v>0.747711541342042</v>
      </c>
      <c r="V22" s="38">
        <f>'[2]valores86'!V75/'[2]valores86'!$AL75</f>
        <v>0.007373277722574887</v>
      </c>
      <c r="W22" s="38">
        <f>'[2]valores86'!W75/'[2]valores86'!$AL75</f>
        <v>0.0016581963633601892</v>
      </c>
      <c r="X22" s="38">
        <f>'[2]valores86'!X75/'[2]valores86'!$AL75</f>
        <v>0.000409274929378978</v>
      </c>
      <c r="Y22" s="38">
        <f>'[2]valores86'!Y75/'[2]valores86'!$AL75</f>
        <v>0.00045146822106753245</v>
      </c>
      <c r="Z22" s="38">
        <f>'[2]valores86'!Z75/'[2]valores86'!$AL75</f>
        <v>0.003307954068382668</v>
      </c>
      <c r="AA22" s="40">
        <f>'[2]valores86'!AA75/'[2]valores86'!$AL75</f>
        <v>0.8910294952205549</v>
      </c>
      <c r="AB22" s="38">
        <f>'[2]valores86'!AB75/'[2]valores86'!$AL75</f>
        <v>0.10897050477944512</v>
      </c>
      <c r="AC22" s="38">
        <f>'[2]valores86'!AC75/'[2]valores86'!$AL75</f>
        <v>0</v>
      </c>
      <c r="AD22" s="38">
        <f>'[2]valores86'!AD75/'[2]valores86'!$AL75</f>
        <v>0</v>
      </c>
      <c r="AE22" s="38">
        <f>'[2]valores86'!AE75/'[2]valores86'!$AL75</f>
        <v>0</v>
      </c>
      <c r="AF22" s="38">
        <f>'[2]valores86'!AF75/'[2]valores86'!$AL75</f>
        <v>0</v>
      </c>
      <c r="AG22" s="38">
        <f>'[2]valores86'!AG75/'[2]valores86'!$AL75</f>
        <v>0</v>
      </c>
      <c r="AH22" s="38">
        <f>'[2]valores86'!AH75/'[2]valores86'!$AL75</f>
        <v>0</v>
      </c>
      <c r="AI22" s="38">
        <f>'[2]valores86'!AI75/'[2]valores86'!$AL75</f>
        <v>0</v>
      </c>
      <c r="AJ22" s="38">
        <f>'[2]valores86'!AJ75/'[2]valores86'!$AL75</f>
        <v>0</v>
      </c>
      <c r="AK22" s="40">
        <f>'[2]valores86'!AK75/'[2]valores86'!$AL75</f>
        <v>0.10897050477944512</v>
      </c>
      <c r="AL22" s="41">
        <f>'[2]valores86'!AL75/'[2]valores86'!$AL75</f>
        <v>1</v>
      </c>
    </row>
    <row r="23" spans="1:38" ht="15.75" customHeight="1">
      <c r="A23" s="76">
        <v>19</v>
      </c>
      <c r="B23" s="37" t="s">
        <v>71</v>
      </c>
      <c r="C23" s="38">
        <f>'[2]valores86'!C79/'[2]valores86'!$AL79</f>
        <v>0.0001965410987424701</v>
      </c>
      <c r="D23" s="38">
        <f>'[2]valores86'!D79/'[2]valores86'!$AL79</f>
        <v>0.013464730866390917</v>
      </c>
      <c r="E23" s="38">
        <f>'[2]valores86'!E79/'[2]valores86'!$AL79</f>
        <v>0.012005663048607835</v>
      </c>
      <c r="F23" s="38">
        <f>'[2]valores86'!F79/'[2]valores86'!$AL79</f>
        <v>0.010225689143047497</v>
      </c>
      <c r="G23" s="38">
        <f>'[2]valores86'!G79/'[2]valores86'!$AL79</f>
        <v>0.009046442550592677</v>
      </c>
      <c r="H23" s="38">
        <f>'[2]valores86'!H79/'[2]valores86'!$AL79</f>
        <v>0.02302751020181551</v>
      </c>
      <c r="I23" s="38">
        <f>'[2]valores86'!I79/'[2]valores86'!$AL79</f>
        <v>0.018011825777975183</v>
      </c>
      <c r="J23" s="38">
        <f>'[2]valores86'!J79/'[2]valores86'!$AL79</f>
        <v>0.014113205452072288</v>
      </c>
      <c r="K23" s="38">
        <f>'[2]valores86'!K79/'[2]valores86'!$AL79</f>
        <v>0.017454404130694278</v>
      </c>
      <c r="L23" s="38">
        <f>'[2]valores86'!L79/'[2]valores86'!$AL79</f>
        <v>0.009875912611387169</v>
      </c>
      <c r="M23" s="38">
        <f>'[2]valores86'!M79/'[2]valores86'!$AL79</f>
        <v>0.0308458484856897</v>
      </c>
      <c r="N23" s="38">
        <f>'[2]valores86'!N79/'[2]valores86'!$AL79</f>
        <v>0.01278294423007523</v>
      </c>
      <c r="O23" s="38">
        <f>'[2]valores86'!O79/'[2]valores86'!$AL79</f>
        <v>0.011561502373483608</v>
      </c>
      <c r="P23" s="38">
        <f>'[2]valores86'!P79/'[2]valores86'!$AL79</f>
        <v>0.005908447380840019</v>
      </c>
      <c r="Q23" s="38">
        <f>'[2]valores86'!Q79/'[2]valores86'!$AL79</f>
        <v>0.028103156316797603</v>
      </c>
      <c r="R23" s="38">
        <f>'[2]valores86'!R79/'[2]valores86'!$AL79</f>
        <v>0.12810482191932931</v>
      </c>
      <c r="S23" s="38">
        <f>'[2]valores86'!S79/'[2]valores86'!$AL79</f>
        <v>0.02189379007856092</v>
      </c>
      <c r="T23" s="38">
        <f>'[2]valores86'!T79/'[2]valores86'!$AL79</f>
        <v>0.06606556921966521</v>
      </c>
      <c r="U23" s="38">
        <f>'[2]valores86'!U79/'[2]valores86'!$AL79</f>
        <v>0</v>
      </c>
      <c r="V23" s="38">
        <f>'[2]valores86'!V79/'[2]valores86'!$AL79</f>
        <v>0.03346417566554701</v>
      </c>
      <c r="W23" s="38">
        <f>'[2]valores86'!W79/'[2]valores86'!$AL79</f>
        <v>0.061231990672625816</v>
      </c>
      <c r="X23" s="38">
        <f>'[2]valores86'!X79/'[2]valores86'!$AL79</f>
        <v>0.007616245176692668</v>
      </c>
      <c r="Y23" s="38">
        <f>'[2]valores86'!Y79/'[2]valores86'!$AL79</f>
        <v>0.011000749521139273</v>
      </c>
      <c r="Z23" s="38">
        <f>'[2]valores86'!Z79/'[2]valores86'!$AL79</f>
        <v>0.0325480942731033</v>
      </c>
      <c r="AA23" s="40">
        <f>'[2]valores86'!AA79/'[2]valores86'!$AL79</f>
        <v>0.5785492601948755</v>
      </c>
      <c r="AB23" s="38">
        <f>'[2]valores86'!AB79/'[2]valores86'!$AL79</f>
        <v>0.4059306554145962</v>
      </c>
      <c r="AC23" s="38">
        <f>'[2]valores86'!AC79/'[2]valores86'!$AL79</f>
        <v>0</v>
      </c>
      <c r="AD23" s="38">
        <f>'[2]valores86'!AD79/'[2]valores86'!$AL79</f>
        <v>0.009771534852732976</v>
      </c>
      <c r="AE23" s="38">
        <f>'[2]valores86'!AE79/'[2]valores86'!$AL79</f>
        <v>0</v>
      </c>
      <c r="AF23" s="38">
        <f>'[2]valores86'!AF79/'[2]valores86'!$AL79</f>
        <v>0.009771534852732976</v>
      </c>
      <c r="AG23" s="38">
        <f>'[2]valores86'!AG79/'[2]valores86'!$AL79</f>
        <v>0.005748549537795298</v>
      </c>
      <c r="AH23" s="38">
        <f>'[2]valores86'!AH79/'[2]valores86'!$AL79</f>
        <v>0.005613080531882408</v>
      </c>
      <c r="AI23" s="38">
        <f>'[2]valores86'!AI79/'[2]valores86'!$AL79</f>
        <v>0.00013546900591288898</v>
      </c>
      <c r="AJ23" s="38">
        <f>'[2]valores86'!AJ79/'[2]valores86'!$AL79</f>
        <v>0</v>
      </c>
      <c r="AK23" s="40">
        <f>'[2]valores86'!AK79/'[2]valores86'!$AL79</f>
        <v>0.42145073980512454</v>
      </c>
      <c r="AL23" s="41">
        <f>'[2]valores86'!AL79/'[2]valores86'!$AL79</f>
        <v>1</v>
      </c>
    </row>
    <row r="24" spans="1:38" ht="15.75" customHeight="1">
      <c r="A24" s="76">
        <v>20</v>
      </c>
      <c r="B24" s="37" t="s">
        <v>43</v>
      </c>
      <c r="C24" s="38">
        <f>'[2]valores86'!C83/'[2]valores86'!$AL83</f>
        <v>0</v>
      </c>
      <c r="D24" s="38">
        <f>'[2]valores86'!D83/'[2]valores86'!$AL83</f>
        <v>0</v>
      </c>
      <c r="E24" s="38">
        <f>'[2]valores86'!E83/'[2]valores86'!$AL83</f>
        <v>0</v>
      </c>
      <c r="F24" s="38">
        <f>'[2]valores86'!F83/'[2]valores86'!$AL83</f>
        <v>0</v>
      </c>
      <c r="G24" s="38">
        <f>'[2]valores86'!G83/'[2]valores86'!$AL83</f>
        <v>0</v>
      </c>
      <c r="H24" s="38">
        <f>'[2]valores86'!H83/'[2]valores86'!$AL83</f>
        <v>0</v>
      </c>
      <c r="I24" s="38">
        <f>'[2]valores86'!I83/'[2]valores86'!$AL83</f>
        <v>0</v>
      </c>
      <c r="J24" s="38">
        <f>'[2]valores86'!J83/'[2]valores86'!$AL83</f>
        <v>0</v>
      </c>
      <c r="K24" s="38">
        <f>'[2]valores86'!K83/'[2]valores86'!$AL83</f>
        <v>0</v>
      </c>
      <c r="L24" s="38">
        <f>'[2]valores86'!L83/'[2]valores86'!$AL83</f>
        <v>0</v>
      </c>
      <c r="M24" s="38">
        <f>'[2]valores86'!M83/'[2]valores86'!$AL83</f>
        <v>0</v>
      </c>
      <c r="N24" s="38">
        <f>'[2]valores86'!N83/'[2]valores86'!$AL83</f>
        <v>0</v>
      </c>
      <c r="O24" s="38">
        <f>'[2]valores86'!O83/'[2]valores86'!$AL83</f>
        <v>0</v>
      </c>
      <c r="P24" s="38">
        <f>'[2]valores86'!P83/'[2]valores86'!$AL83</f>
        <v>0</v>
      </c>
      <c r="Q24" s="38">
        <f>'[2]valores86'!Q83/'[2]valores86'!$AL83</f>
        <v>0</v>
      </c>
      <c r="R24" s="38">
        <f>'[2]valores86'!R83/'[2]valores86'!$AL83</f>
        <v>0</v>
      </c>
      <c r="S24" s="38">
        <f>'[2]valores86'!S83/'[2]valores86'!$AL83</f>
        <v>0</v>
      </c>
      <c r="T24" s="38">
        <f>'[2]valores86'!T83/'[2]valores86'!$AL83</f>
        <v>0</v>
      </c>
      <c r="U24" s="38">
        <f>'[2]valores86'!U83/'[2]valores86'!$AL83</f>
        <v>0</v>
      </c>
      <c r="V24" s="38">
        <f>'[2]valores86'!V83/'[2]valores86'!$AL83</f>
        <v>0</v>
      </c>
      <c r="W24" s="38">
        <f>'[2]valores86'!W83/'[2]valores86'!$AL83</f>
        <v>0</v>
      </c>
      <c r="X24" s="38">
        <f>'[2]valores86'!X83/'[2]valores86'!$AL83</f>
        <v>0</v>
      </c>
      <c r="Y24" s="38">
        <f>'[2]valores86'!Y83/'[2]valores86'!$AL83</f>
        <v>0</v>
      </c>
      <c r="Z24" s="38">
        <f>'[2]valores86'!Z83/'[2]valores86'!$AL83</f>
        <v>0</v>
      </c>
      <c r="AA24" s="40">
        <f>'[2]valores86'!AA83/'[2]valores86'!$AL83</f>
        <v>0</v>
      </c>
      <c r="AB24" s="38">
        <f>'[2]valores86'!AB83/'[2]valores86'!$AL83</f>
        <v>0</v>
      </c>
      <c r="AC24" s="38">
        <f>'[2]valores86'!AC83/'[2]valores86'!$AL83</f>
        <v>1</v>
      </c>
      <c r="AD24" s="38">
        <f>'[2]valores86'!AD83/'[2]valores86'!$AL83</f>
        <v>0</v>
      </c>
      <c r="AE24" s="38">
        <f>'[2]valores86'!AE83/'[2]valores86'!$AL83</f>
        <v>0</v>
      </c>
      <c r="AF24" s="38">
        <f>'[2]valores86'!AF83/'[2]valores86'!$AL83</f>
        <v>0</v>
      </c>
      <c r="AG24" s="38">
        <f>'[2]valores86'!AG83/'[2]valores86'!$AL83</f>
        <v>0</v>
      </c>
      <c r="AH24" s="38">
        <f>'[2]valores86'!AH83/'[2]valores86'!$AL83</f>
        <v>0</v>
      </c>
      <c r="AI24" s="38">
        <f>'[2]valores86'!AI83/'[2]valores86'!$AL83</f>
        <v>0</v>
      </c>
      <c r="AJ24" s="38">
        <f>'[2]valores86'!AJ83/'[2]valores86'!$AL83</f>
        <v>0</v>
      </c>
      <c r="AK24" s="40">
        <f>'[2]valores86'!AK83/'[2]valores86'!$AL83</f>
        <v>1</v>
      </c>
      <c r="AL24" s="41">
        <f>'[2]valores86'!AL83/'[2]valores86'!$AL83</f>
        <v>1</v>
      </c>
    </row>
    <row r="25" spans="1:38" ht="15.75" customHeight="1">
      <c r="A25" s="76">
        <v>21</v>
      </c>
      <c r="B25" s="37" t="s">
        <v>44</v>
      </c>
      <c r="C25" s="38">
        <f>'[2]valores86'!C87/'[2]valores86'!$AL87</f>
        <v>0</v>
      </c>
      <c r="D25" s="38">
        <f>'[2]valores86'!D87/'[2]valores86'!$AL87</f>
        <v>0</v>
      </c>
      <c r="E25" s="38">
        <f>'[2]valores86'!E87/'[2]valores86'!$AL87</f>
        <v>0</v>
      </c>
      <c r="F25" s="38">
        <f>'[2]valores86'!F87/'[2]valores86'!$AL87</f>
        <v>0</v>
      </c>
      <c r="G25" s="38">
        <f>'[2]valores86'!G87/'[2]valores86'!$AL87</f>
        <v>0</v>
      </c>
      <c r="H25" s="38">
        <f>'[2]valores86'!H87/'[2]valores86'!$AL87</f>
        <v>0</v>
      </c>
      <c r="I25" s="38">
        <f>'[2]valores86'!I87/'[2]valores86'!$AL87</f>
        <v>0</v>
      </c>
      <c r="J25" s="38">
        <f>'[2]valores86'!J87/'[2]valores86'!$AL87</f>
        <v>0</v>
      </c>
      <c r="K25" s="38">
        <f>'[2]valores86'!K87/'[2]valores86'!$AL87</f>
        <v>0</v>
      </c>
      <c r="L25" s="38">
        <f>'[2]valores86'!L87/'[2]valores86'!$AL87</f>
        <v>0</v>
      </c>
      <c r="M25" s="38">
        <f>'[2]valores86'!M87/'[2]valores86'!$AL87</f>
        <v>7.306985965715623E-05</v>
      </c>
      <c r="N25" s="38">
        <f>'[2]valores86'!N87/'[2]valores86'!$AL87</f>
        <v>0</v>
      </c>
      <c r="O25" s="38">
        <f>'[2]valores86'!O87/'[2]valores86'!$AL87</f>
        <v>0</v>
      </c>
      <c r="P25" s="38">
        <f>'[2]valores86'!P87/'[2]valores86'!$AL87</f>
        <v>0</v>
      </c>
      <c r="Q25" s="38">
        <f>'[2]valores86'!Q87/'[2]valores86'!$AL87</f>
        <v>0</v>
      </c>
      <c r="R25" s="38">
        <f>'[2]valores86'!R87/'[2]valores86'!$AL87</f>
        <v>0</v>
      </c>
      <c r="S25" s="38">
        <f>'[2]valores86'!S87/'[2]valores86'!$AL87</f>
        <v>0</v>
      </c>
      <c r="T25" s="38">
        <f>'[2]valores86'!T87/'[2]valores86'!$AL87</f>
        <v>0</v>
      </c>
      <c r="U25" s="38">
        <f>'[2]valores86'!U87/'[2]valores86'!$AL87</f>
        <v>0</v>
      </c>
      <c r="V25" s="38">
        <f>'[2]valores86'!V87/'[2]valores86'!$AL87</f>
        <v>0</v>
      </c>
      <c r="W25" s="38">
        <f>'[2]valores86'!W87/'[2]valores86'!$AL87</f>
        <v>0</v>
      </c>
      <c r="X25" s="38">
        <f>'[2]valores86'!X87/'[2]valores86'!$AL87</f>
        <v>0.000774540512365856</v>
      </c>
      <c r="Y25" s="38">
        <f>'[2]valores86'!Y87/'[2]valores86'!$AL87</f>
        <v>0</v>
      </c>
      <c r="Z25" s="38">
        <f>'[2]valores86'!Z87/'[2]valores86'!$AL87</f>
        <v>0</v>
      </c>
      <c r="AA25" s="40">
        <f>'[2]valores86'!AA87/'[2]valores86'!$AL87</f>
        <v>0.0008476103720230121</v>
      </c>
      <c r="AB25" s="38">
        <f>'[2]valores86'!AB87/'[2]valores86'!$AL87</f>
        <v>0.45358846080776294</v>
      </c>
      <c r="AC25" s="38">
        <f>'[2]valores86'!AC87/'[2]valores86'!$AL87</f>
        <v>0.5455639288202141</v>
      </c>
      <c r="AD25" s="38">
        <f>'[2]valores86'!AD87/'[2]valores86'!$AL87</f>
        <v>0</v>
      </c>
      <c r="AE25" s="38">
        <f>'[2]valores86'!AE87/'[2]valores86'!$AL87</f>
        <v>0</v>
      </c>
      <c r="AF25" s="38">
        <f>'[2]valores86'!AF87/'[2]valores86'!$AL87</f>
        <v>0</v>
      </c>
      <c r="AG25" s="38">
        <f>'[2]valores86'!AG87/'[2]valores86'!$AL87</f>
        <v>0</v>
      </c>
      <c r="AH25" s="38">
        <f>'[2]valores86'!AH87/'[2]valores86'!$AL87</f>
        <v>0</v>
      </c>
      <c r="AI25" s="38">
        <f>'[2]valores86'!AI87/'[2]valores86'!$AL87</f>
        <v>0</v>
      </c>
      <c r="AJ25" s="38">
        <f>'[2]valores86'!AJ87/'[2]valores86'!$AL87</f>
        <v>0</v>
      </c>
      <c r="AK25" s="40">
        <f>'[2]valores86'!AK87/'[2]valores86'!$AL87</f>
        <v>0.9991523896279771</v>
      </c>
      <c r="AL25" s="41">
        <f>'[2]valores86'!AL87/'[2]valores86'!$AL87</f>
        <v>1</v>
      </c>
    </row>
    <row r="26" spans="1:38" ht="15.75" customHeight="1">
      <c r="A26" s="76">
        <v>22</v>
      </c>
      <c r="B26" s="37" t="s">
        <v>45</v>
      </c>
      <c r="C26" s="38">
        <f>'[2]valores86'!C91/'[2]valores86'!$AL91</f>
        <v>0.004409678285210323</v>
      </c>
      <c r="D26" s="38">
        <f>'[2]valores86'!D91/'[2]valores86'!$AL91</f>
        <v>0.0002530771885425055</v>
      </c>
      <c r="E26" s="38">
        <f>'[2]valores86'!E91/'[2]valores86'!$AL91</f>
        <v>0</v>
      </c>
      <c r="F26" s="38">
        <f>'[2]valores86'!F91/'[2]valores86'!$AL91</f>
        <v>0</v>
      </c>
      <c r="G26" s="38">
        <f>'[2]valores86'!G91/'[2]valores86'!$AL91</f>
        <v>0</v>
      </c>
      <c r="H26" s="38">
        <f>'[2]valores86'!H91/'[2]valores86'!$AL91</f>
        <v>0</v>
      </c>
      <c r="I26" s="38">
        <f>'[2]valores86'!I91/'[2]valores86'!$AL91</f>
        <v>0</v>
      </c>
      <c r="J26" s="38">
        <f>'[2]valores86'!J91/'[2]valores86'!$AL91</f>
        <v>0</v>
      </c>
      <c r="K26" s="38">
        <f>'[2]valores86'!K91/'[2]valores86'!$AL91</f>
        <v>0</v>
      </c>
      <c r="L26" s="38">
        <f>'[2]valores86'!L91/'[2]valores86'!$AL91</f>
        <v>0</v>
      </c>
      <c r="M26" s="38">
        <f>'[2]valores86'!M91/'[2]valores86'!$AL91</f>
        <v>3.8345028567046284E-05</v>
      </c>
      <c r="N26" s="38">
        <f>'[2]valores86'!N91/'[2]valores86'!$AL91</f>
        <v>0</v>
      </c>
      <c r="O26" s="38">
        <f>'[2]valores86'!O91/'[2]valores86'!$AL91</f>
        <v>0</v>
      </c>
      <c r="P26" s="38">
        <f>'[2]valores86'!P91/'[2]valores86'!$AL91</f>
        <v>0</v>
      </c>
      <c r="Q26" s="38">
        <f>'[2]valores86'!Q91/'[2]valores86'!$AL91</f>
        <v>0</v>
      </c>
      <c r="R26" s="38">
        <f>'[2]valores86'!R91/'[2]valores86'!$AL91</f>
        <v>0</v>
      </c>
      <c r="S26" s="38">
        <f>'[2]valores86'!S91/'[2]valores86'!$AL91</f>
        <v>0</v>
      </c>
      <c r="T26" s="38">
        <f>'[2]valores86'!T91/'[2]valores86'!$AL91</f>
        <v>0.009466109385584827</v>
      </c>
      <c r="U26" s="38">
        <f>'[2]valores86'!U91/'[2]valores86'!$AL91</f>
        <v>0</v>
      </c>
      <c r="V26" s="38">
        <f>'[2]valores86'!V91/'[2]valores86'!$AL91</f>
        <v>0</v>
      </c>
      <c r="W26" s="38">
        <f>'[2]valores86'!W91/'[2]valores86'!$AL91</f>
        <v>0</v>
      </c>
      <c r="X26" s="38">
        <f>'[2]valores86'!X91/'[2]valores86'!$AL91</f>
        <v>0.0013932027046026816</v>
      </c>
      <c r="Y26" s="38">
        <f>'[2]valores86'!Y91/'[2]valores86'!$AL91</f>
        <v>0.04765775783836292</v>
      </c>
      <c r="Z26" s="38">
        <f>'[2]valores86'!Z91/'[2]valores86'!$AL91</f>
        <v>2.5563352378030854E-05</v>
      </c>
      <c r="AA26" s="40">
        <f>'[2]valores86'!AA91/'[2]valores86'!$AL91</f>
        <v>0.06324373378324834</v>
      </c>
      <c r="AB26" s="38">
        <f>'[2]valores86'!AB91/'[2]valores86'!$AL91</f>
        <v>0.4548282781804006</v>
      </c>
      <c r="AC26" s="38">
        <f>'[2]valores86'!AC91/'[2]valores86'!$AL91</f>
        <v>0.48192798803635106</v>
      </c>
      <c r="AD26" s="38">
        <f>'[2]valores86'!AD91/'[2]valores86'!$AL91</f>
        <v>0</v>
      </c>
      <c r="AE26" s="38">
        <f>'[2]valores86'!AE91/'[2]valores86'!$AL91</f>
        <v>0</v>
      </c>
      <c r="AF26" s="38">
        <f>'[2]valores86'!AF91/'[2]valores86'!$AL91</f>
        <v>0</v>
      </c>
      <c r="AG26" s="38">
        <f>'[2]valores86'!AG91/'[2]valores86'!$AL91</f>
        <v>0</v>
      </c>
      <c r="AH26" s="38">
        <f>'[2]valores86'!AH91/'[2]valores86'!$AL91</f>
        <v>0</v>
      </c>
      <c r="AI26" s="38">
        <f>'[2]valores86'!AI91/'[2]valores86'!$AL91</f>
        <v>0</v>
      </c>
      <c r="AJ26" s="38">
        <f>'[2]valores86'!AJ91/'[2]valores86'!$AL91</f>
        <v>0</v>
      </c>
      <c r="AK26" s="40">
        <f>'[2]valores86'!AK91/'[2]valores86'!$AL91</f>
        <v>0.9367562662167517</v>
      </c>
      <c r="AL26" s="41">
        <f>'[2]valores86'!AL91/'[2]valores86'!$AL91</f>
        <v>1</v>
      </c>
    </row>
    <row r="27" spans="1:38" ht="15.75" customHeight="1">
      <c r="A27" s="76">
        <v>23</v>
      </c>
      <c r="B27" s="37" t="s">
        <v>72</v>
      </c>
      <c r="C27" s="38">
        <f>'[2]valores86'!C95/'[2]valores86'!$AL95</f>
        <v>0.0002985025667940496</v>
      </c>
      <c r="D27" s="38">
        <f>'[2]valores86'!D95/'[2]valores86'!$AL95</f>
        <v>0.00015417165537714653</v>
      </c>
      <c r="E27" s="38">
        <f>'[2]valores86'!E95/'[2]valores86'!$AL95</f>
        <v>1.3120991946991192E-05</v>
      </c>
      <c r="F27" s="38">
        <f>'[2]valores86'!F95/'[2]valores86'!$AL95</f>
        <v>6.888520772170376E-05</v>
      </c>
      <c r="G27" s="38">
        <f>'[2]valores86'!G95/'[2]valores86'!$AL95</f>
        <v>0</v>
      </c>
      <c r="H27" s="38">
        <f>'[2]valores86'!H95/'[2]valores86'!$AL95</f>
        <v>0.000941431172196618</v>
      </c>
      <c r="I27" s="38">
        <f>'[2]valores86'!I95/'[2]valores86'!$AL95</f>
        <v>0</v>
      </c>
      <c r="J27" s="38">
        <f>'[2]valores86'!J95/'[2]valores86'!$AL95</f>
        <v>0</v>
      </c>
      <c r="K27" s="38">
        <f>'[2]valores86'!K95/'[2]valores86'!$AL95</f>
        <v>0</v>
      </c>
      <c r="L27" s="38">
        <f>'[2]valores86'!L95/'[2]valores86'!$AL95</f>
        <v>0</v>
      </c>
      <c r="M27" s="38">
        <f>'[2]valores86'!M95/'[2]valores86'!$AL95</f>
        <v>0.0001344901674566597</v>
      </c>
      <c r="N27" s="38">
        <f>'[2]valores86'!N95/'[2]valores86'!$AL95</f>
        <v>9.512719161568614E-05</v>
      </c>
      <c r="O27" s="38">
        <f>'[2]valores86'!O95/'[2]valores86'!$AL95</f>
        <v>0</v>
      </c>
      <c r="P27" s="38">
        <f>'[2]valores86'!P95/'[2]valores86'!$AL95</f>
        <v>0</v>
      </c>
      <c r="Q27" s="38">
        <f>'[2]valores86'!Q95/'[2]valores86'!$AL95</f>
        <v>0.0030637516196224436</v>
      </c>
      <c r="R27" s="38">
        <f>'[2]valores86'!R95/'[2]valores86'!$AL95</f>
        <v>0.004838365780453002</v>
      </c>
      <c r="S27" s="38">
        <f>'[2]valores86'!S95/'[2]valores86'!$AL95</f>
        <v>0.0008102212527267061</v>
      </c>
      <c r="T27" s="38">
        <f>'[2]valores86'!T95/'[2]valores86'!$AL95</f>
        <v>0.0005838841416411081</v>
      </c>
      <c r="U27" s="38">
        <f>'[2]valores86'!U95/'[2]valores86'!$AL95</f>
        <v>0</v>
      </c>
      <c r="V27" s="38">
        <f>'[2]valores86'!V95/'[2]valores86'!$AL95</f>
        <v>0.028774335339751687</v>
      </c>
      <c r="W27" s="38">
        <f>'[2]valores86'!W95/'[2]valores86'!$AL95</f>
        <v>0.048688720867297565</v>
      </c>
      <c r="X27" s="38">
        <f>'[2]valores86'!X95/'[2]valores86'!$AL95</f>
        <v>0.0005576421577471257</v>
      </c>
      <c r="Y27" s="38">
        <f>'[2]valores86'!Y95/'[2]valores86'!$AL95</f>
        <v>0.008928835019927505</v>
      </c>
      <c r="Z27" s="38">
        <f>'[2]valores86'!Z95/'[2]valores86'!$AL95</f>
        <v>0.08383985829328698</v>
      </c>
      <c r="AA27" s="40">
        <f>'[2]valores86'!AA95/'[2]valores86'!$AL95</f>
        <v>0.18179134342556297</v>
      </c>
      <c r="AB27" s="38">
        <f>'[2]valores86'!AB95/'[2]valores86'!$AL95</f>
        <v>0.7669744632694231</v>
      </c>
      <c r="AC27" s="38">
        <f>'[2]valores86'!AC95/'[2]valores86'!$AL95</f>
        <v>0.05123419330501386</v>
      </c>
      <c r="AD27" s="38">
        <f>'[2]valores86'!AD95/'[2]valores86'!$AL95</f>
        <v>0</v>
      </c>
      <c r="AE27" s="38">
        <f>'[2]valores86'!AE95/'[2]valores86'!$AL95</f>
        <v>0</v>
      </c>
      <c r="AF27" s="38">
        <f>'[2]valores86'!AF95/'[2]valores86'!$AL95</f>
        <v>0</v>
      </c>
      <c r="AG27" s="38">
        <f>'[2]valores86'!AG95/'[2]valores86'!$AL95</f>
        <v>0</v>
      </c>
      <c r="AH27" s="38">
        <f>'[2]valores86'!AH95/'[2]valores86'!$AL95</f>
        <v>0</v>
      </c>
      <c r="AI27" s="38">
        <f>'[2]valores86'!AI95/'[2]valores86'!$AL95</f>
        <v>0</v>
      </c>
      <c r="AJ27" s="38">
        <f>'[2]valores86'!AJ95/'[2]valores86'!$AL95</f>
        <v>0</v>
      </c>
      <c r="AK27" s="40">
        <f>'[2]valores86'!AK95/'[2]valores86'!$AL95</f>
        <v>0.818208656574437</v>
      </c>
      <c r="AL27" s="41">
        <f>'[2]valores86'!AL95/'[2]valores86'!$AL95</f>
        <v>1</v>
      </c>
    </row>
    <row r="28" spans="1:38" ht="15.75" customHeight="1" thickBot="1">
      <c r="A28" s="77"/>
      <c r="B28" s="43" t="s">
        <v>73</v>
      </c>
      <c r="C28" s="78">
        <f>'[2]valores86'!C99/'[2]valores86'!$AL99</f>
        <v>0.02527538865064027</v>
      </c>
      <c r="D28" s="78">
        <f>'[2]valores86'!D99/'[2]valores86'!$AL99</f>
        <v>0.022129520150914062</v>
      </c>
      <c r="E28" s="78">
        <f>'[2]valores86'!E99/'[2]valores86'!$AL99</f>
        <v>0.01032617658093985</v>
      </c>
      <c r="F28" s="78">
        <f>'[2]valores86'!F99/'[2]valores86'!$AL99</f>
        <v>0.005803192074195978</v>
      </c>
      <c r="G28" s="78">
        <f>'[2]valores86'!G99/'[2]valores86'!$AL99</f>
        <v>0.005218570221518907</v>
      </c>
      <c r="H28" s="78">
        <f>'[2]valores86'!H99/'[2]valores86'!$AL99</f>
        <v>0.017670665301526348</v>
      </c>
      <c r="I28" s="78">
        <f>'[2]valores86'!I99/'[2]valores86'!$AL99</f>
        <v>0.01624889422504321</v>
      </c>
      <c r="J28" s="78">
        <f>'[2]valores86'!J99/'[2]valores86'!$AL99</f>
        <v>0.010684128222911683</v>
      </c>
      <c r="K28" s="78">
        <f>'[2]valores86'!K99/'[2]valores86'!$AL99</f>
        <v>0.0357958523451656</v>
      </c>
      <c r="L28" s="78">
        <f>'[2]valores86'!L99/'[2]valores86'!$AL99</f>
        <v>0.008900104579569195</v>
      </c>
      <c r="M28" s="78">
        <f>'[2]valores86'!M99/'[2]valores86'!$AL99</f>
        <v>0.036270961181073424</v>
      </c>
      <c r="N28" s="78">
        <f>'[2]valores86'!N99/'[2]valores86'!$AL99</f>
        <v>0.05346342098077294</v>
      </c>
      <c r="O28" s="78">
        <f>'[2]valores86'!O99/'[2]valores86'!$AL99</f>
        <v>0.011523439378294541</v>
      </c>
      <c r="P28" s="78">
        <f>'[2]valores86'!P99/'[2]valores86'!$AL99</f>
        <v>0.0013284696792565766</v>
      </c>
      <c r="Q28" s="78">
        <f>'[2]valores86'!Q99/'[2]valores86'!$AL99</f>
        <v>0.028613193091680117</v>
      </c>
      <c r="R28" s="78">
        <f>'[2]valores86'!R99/'[2]valores86'!$AL99</f>
        <v>0.026668486894539954</v>
      </c>
      <c r="S28" s="78">
        <f>'[2]valores86'!S99/'[2]valores86'!$AL99</f>
        <v>0.012941024221220492</v>
      </c>
      <c r="T28" s="78">
        <f>'[2]valores86'!T99/'[2]valores86'!$AL99</f>
        <v>0.007438937031116395</v>
      </c>
      <c r="U28" s="78">
        <f>'[2]valores86'!U99/'[2]valores86'!$AL99</f>
        <v>0.020324565339785654</v>
      </c>
      <c r="V28" s="78">
        <f>'[2]valores86'!V99/'[2]valores86'!$AL99</f>
        <v>0.009562676394907644</v>
      </c>
      <c r="W28" s="78">
        <f>'[2]valores86'!W99/'[2]valores86'!$AL99</f>
        <v>0.0068734514269055205</v>
      </c>
      <c r="X28" s="78">
        <f>'[2]valores86'!X99/'[2]valores86'!$AL99</f>
        <v>0.0019498099613400185</v>
      </c>
      <c r="Y28" s="78">
        <f>'[2]valores86'!Y99/'[2]valores86'!$AL99</f>
        <v>0.005554443782401483</v>
      </c>
      <c r="Z28" s="78">
        <f>'[2]valores86'!Z99/'[2]valores86'!$AL99</f>
        <v>0.00558770426819829</v>
      </c>
      <c r="AA28" s="44">
        <f>'[2]valores86'!AA99/'[2]valores86'!$AL99</f>
        <v>0.3861530759839181</v>
      </c>
      <c r="AB28" s="78">
        <f>'[2]valores86'!AB99/'[2]valores86'!$AL99</f>
        <v>0.19873088652493107</v>
      </c>
      <c r="AC28" s="78">
        <f>'[2]valores86'!AC99/'[2]valores86'!$AL99</f>
        <v>0.0369398983652454</v>
      </c>
      <c r="AD28" s="78">
        <f>'[2]valores86'!AD99/'[2]valores86'!$AL99</f>
        <v>0.08140091009979138</v>
      </c>
      <c r="AE28" s="78">
        <f>'[2]valores86'!AE99/'[2]valores86'!$AL99</f>
        <v>0.010163945694182667</v>
      </c>
      <c r="AF28" s="78">
        <f>'[2]valores86'!AF99/'[2]valores86'!$AL99</f>
        <v>0.09156485579397404</v>
      </c>
      <c r="AG28" s="78">
        <f>'[2]valores86'!AG99/'[2]valores86'!$AL99</f>
        <v>0.28661128333193137</v>
      </c>
      <c r="AH28" s="78">
        <f>'[2]valores86'!AH99/'[2]valores86'!$AL99</f>
        <v>0.1723769979494968</v>
      </c>
      <c r="AI28" s="78">
        <f>'[2]valores86'!AI99/'[2]valores86'!$AL99</f>
        <v>0.09783554693431021</v>
      </c>
      <c r="AJ28" s="78">
        <f>'[2]valores86'!AJ99/'[2]valores86'!$AL99</f>
        <v>0.01639873844812434</v>
      </c>
      <c r="AK28" s="44">
        <f>'[2]valores86'!AK99/'[2]valores86'!$AL99</f>
        <v>0.6138469240160819</v>
      </c>
      <c r="AL28" s="45">
        <f>'[2]valores86'!AL99/'[2]valores86'!$AL99</f>
        <v>1</v>
      </c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blackAndWhite="1"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Navarra</dc:creator>
  <cp:keywords/>
  <dc:description/>
  <cp:lastModifiedBy>x068670</cp:lastModifiedBy>
  <cp:lastPrinted>2001-02-22T12:26:59Z</cp:lastPrinted>
  <dcterms:created xsi:type="dcterms:W3CDTF">2022-02-11T08:14:11Z</dcterms:created>
  <dcterms:modified xsi:type="dcterms:W3CDTF">2022-02-11T08:14:14Z</dcterms:modified>
  <cp:category/>
  <cp:version/>
  <cp:contentType/>
  <cp:contentStatus/>
</cp:coreProperties>
</file>